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ink/ink5.xml" ContentType="application/inkml+xml"/>
  <Override PartName="/xl/ink/ink6.xml" ContentType="application/inkml+xml"/>
  <Override PartName="/xl/ink/ink7.xml" ContentType="application/inkml+xml"/>
  <Override PartName="/xl/ink/ink8.xml" ContentType="application/inkml+xml"/>
  <Override PartName="/xl/ink/ink9.xml" ContentType="application/inkml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umardi/Documents/other/Study/FinalExam/ISM/"/>
    </mc:Choice>
  </mc:AlternateContent>
  <xr:revisionPtr revIDLastSave="0" documentId="13_ncr:1_{A3F0C459-F596-2C4D-9D29-6602B39A710B}" xr6:coauthVersionLast="47" xr6:coauthVersionMax="47" xr10:uidLastSave="{00000000-0000-0000-0000-000000000000}"/>
  <bookViews>
    <workbookView xWindow="0" yWindow="760" windowWidth="34560" windowHeight="20940" activeTab="7" xr2:uid="{6BA9B501-2B74-9043-8FDD-7D7089052CFF}"/>
  </bookViews>
  <sheets>
    <sheet name="T-Test Single" sheetId="1" r:id="rId1"/>
    <sheet name="T-test Double" sheetId="2" r:id="rId2"/>
    <sheet name="X2 One Smple" sheetId="13" r:id="rId3"/>
    <sheet name="X2  for2" sheetId="23" r:id="rId4"/>
    <sheet name="F-Test" sheetId="14" r:id="rId5"/>
    <sheet name="ANOVA-1way" sheetId="15" r:id="rId6"/>
    <sheet name="Goodness-of-fit or Chi2" sheetId="16" r:id="rId7"/>
    <sheet name="Coverience" sheetId="17" r:id="rId8"/>
    <sheet name="Karl Pearsons" sheetId="18" r:id="rId9"/>
    <sheet name="Spearman Rank-1x" sheetId="20" r:id="rId10"/>
    <sheet name="Spearman Rank-2x" sheetId="21" r:id="rId11"/>
    <sheet name="Linear Regressionx" sheetId="19" r:id="rId12"/>
    <sheet name="Regression- Two Line" sheetId="22" r:id="rId13"/>
    <sheet name="Confidence Interval for the Dif" sheetId="24" r:id="rId14"/>
    <sheet name="T-Test Student Pair test" sheetId="3" r:id="rId15"/>
    <sheet name="z-Test-Single" sheetId="4" r:id="rId16"/>
    <sheet name="Proportion-z-single" sheetId="6" r:id="rId17"/>
    <sheet name="z-Test-Two" sheetId="5" r:id="rId18"/>
    <sheet name="Z-Diff-proportional" sheetId="7" r:id="rId19"/>
    <sheet name="Z-Single Table" sheetId="8" r:id="rId20"/>
    <sheet name="CHI-2 TEST" sheetId="9" r:id="rId21"/>
    <sheet name="Fisher Test" sheetId="10" r:id="rId22"/>
    <sheet name="From QuestionTot" sheetId="11" r:id="rId23"/>
    <sheet name="Single Row X2" sheetId="12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25" i="18" l="1"/>
  <c r="C19" i="1"/>
  <c r="F4" i="1"/>
  <c r="D2" i="6"/>
  <c r="E2" i="19"/>
  <c r="C16" i="18"/>
  <c r="C15" i="18"/>
  <c r="B16" i="18"/>
  <c r="B15" i="18"/>
  <c r="I2" i="18"/>
  <c r="B17" i="19"/>
  <c r="A17" i="19"/>
  <c r="N2" i="24"/>
  <c r="M2" i="24"/>
  <c r="L2" i="24"/>
  <c r="K2" i="24"/>
  <c r="J2" i="24"/>
  <c r="I2" i="24"/>
  <c r="H2" i="24"/>
  <c r="G2" i="24"/>
  <c r="D2" i="24"/>
  <c r="F2" i="24" s="1"/>
  <c r="C2" i="24"/>
  <c r="E2" i="24" s="1"/>
  <c r="J35" i="16"/>
  <c r="C38" i="16"/>
  <c r="B38" i="16"/>
  <c r="D37" i="16"/>
  <c r="D36" i="16"/>
  <c r="D38" i="16" l="1"/>
  <c r="C44" i="16" s="1"/>
  <c r="G38" i="16" s="1"/>
  <c r="H38" i="16" s="1"/>
  <c r="I38" i="16" s="1"/>
  <c r="B43" i="16"/>
  <c r="G35" i="16" s="1"/>
  <c r="H35" i="16" s="1"/>
  <c r="I35" i="16" s="1"/>
  <c r="G2" i="7"/>
  <c r="C6" i="19"/>
  <c r="D6" i="19"/>
  <c r="B15" i="22"/>
  <c r="E8" i="22" s="1"/>
  <c r="G8" i="22" s="1"/>
  <c r="A15" i="22"/>
  <c r="D4" i="22" s="1"/>
  <c r="C2" i="22"/>
  <c r="A14" i="22"/>
  <c r="B14" i="22"/>
  <c r="T2" i="21"/>
  <c r="S2" i="21"/>
  <c r="R2" i="21"/>
  <c r="Q2" i="21"/>
  <c r="P2" i="21"/>
  <c r="K2" i="21"/>
  <c r="J2" i="21"/>
  <c r="I2" i="21"/>
  <c r="H2" i="21"/>
  <c r="G2" i="21"/>
  <c r="F11" i="21"/>
  <c r="F3" i="21"/>
  <c r="F4" i="21"/>
  <c r="F5" i="21"/>
  <c r="F6" i="21"/>
  <c r="F7" i="21"/>
  <c r="F8" i="21"/>
  <c r="F9" i="21"/>
  <c r="F2" i="21"/>
  <c r="E3" i="21"/>
  <c r="E4" i="21"/>
  <c r="E5" i="21"/>
  <c r="E6" i="21"/>
  <c r="E7" i="21"/>
  <c r="E8" i="21"/>
  <c r="E9" i="21"/>
  <c r="E2" i="21"/>
  <c r="D3" i="21"/>
  <c r="D4" i="21"/>
  <c r="D5" i="21"/>
  <c r="D6" i="21"/>
  <c r="D7" i="21"/>
  <c r="D8" i="21"/>
  <c r="D9" i="21"/>
  <c r="D2" i="21"/>
  <c r="B3" i="21"/>
  <c r="B4" i="21"/>
  <c r="B5" i="21"/>
  <c r="B6" i="21"/>
  <c r="B7" i="21"/>
  <c r="B8" i="21"/>
  <c r="B9" i="21"/>
  <c r="B2" i="21"/>
  <c r="J2" i="20"/>
  <c r="I2" i="20"/>
  <c r="G2" i="20"/>
  <c r="H2" i="20" s="1"/>
  <c r="D3" i="20"/>
  <c r="D4" i="20"/>
  <c r="D5" i="20"/>
  <c r="D6" i="20"/>
  <c r="D7" i="20"/>
  <c r="D8" i="20"/>
  <c r="D2" i="20"/>
  <c r="B2" i="20"/>
  <c r="E2" i="20" s="1"/>
  <c r="F2" i="20" s="1"/>
  <c r="B3" i="20"/>
  <c r="E3" i="20" s="1"/>
  <c r="F3" i="20" s="1"/>
  <c r="B4" i="20"/>
  <c r="B5" i="20"/>
  <c r="E5" i="20" s="1"/>
  <c r="F5" i="20" s="1"/>
  <c r="B6" i="20"/>
  <c r="B7" i="20"/>
  <c r="B8" i="20"/>
  <c r="C33" i="18"/>
  <c r="B33" i="18"/>
  <c r="C32" i="18"/>
  <c r="B32" i="18"/>
  <c r="I21" i="18"/>
  <c r="D3" i="19"/>
  <c r="D4" i="19"/>
  <c r="D5" i="19"/>
  <c r="D2" i="19"/>
  <c r="C3" i="19"/>
  <c r="C4" i="19"/>
  <c r="C5" i="19"/>
  <c r="C2" i="19"/>
  <c r="I2" i="19"/>
  <c r="F3" i="18"/>
  <c r="F4" i="18"/>
  <c r="F5" i="18"/>
  <c r="F6" i="18"/>
  <c r="F2" i="18"/>
  <c r="E3" i="18"/>
  <c r="E4" i="18"/>
  <c r="E5" i="18"/>
  <c r="E6" i="18"/>
  <c r="E2" i="18"/>
  <c r="D3" i="18"/>
  <c r="D4" i="18"/>
  <c r="D5" i="18"/>
  <c r="D6" i="18"/>
  <c r="D2" i="18"/>
  <c r="D15" i="18" s="1"/>
  <c r="G2" i="17"/>
  <c r="B10" i="17"/>
  <c r="C10" i="17"/>
  <c r="E3" i="17" s="1"/>
  <c r="C9" i="17"/>
  <c r="B9" i="17"/>
  <c r="H24" i="16"/>
  <c r="C24" i="16"/>
  <c r="D24" i="16"/>
  <c r="E24" i="16"/>
  <c r="B24" i="16"/>
  <c r="F24" i="16"/>
  <c r="C23" i="16"/>
  <c r="D23" i="16"/>
  <c r="E23" i="16"/>
  <c r="B23" i="16"/>
  <c r="C22" i="16"/>
  <c r="D22" i="16"/>
  <c r="E22" i="16"/>
  <c r="B22" i="16"/>
  <c r="C21" i="16"/>
  <c r="D21" i="16"/>
  <c r="E21" i="16"/>
  <c r="B21" i="16"/>
  <c r="F20" i="16"/>
  <c r="F19" i="16"/>
  <c r="D5" i="16"/>
  <c r="E5" i="16" s="1"/>
  <c r="F5" i="16" s="1"/>
  <c r="D6" i="16"/>
  <c r="E6" i="16" s="1"/>
  <c r="F6" i="16" s="1"/>
  <c r="D7" i="16"/>
  <c r="E7" i="16" s="1"/>
  <c r="F7" i="16" s="1"/>
  <c r="D8" i="16"/>
  <c r="E8" i="16" s="1"/>
  <c r="F8" i="16" s="1"/>
  <c r="D9" i="16"/>
  <c r="E9" i="16" s="1"/>
  <c r="F9" i="16" s="1"/>
  <c r="C4" i="16"/>
  <c r="D4" i="16" s="1"/>
  <c r="E4" i="16" s="1"/>
  <c r="F4" i="16" s="1"/>
  <c r="C5" i="16"/>
  <c r="C6" i="16"/>
  <c r="C7" i="16"/>
  <c r="C8" i="16"/>
  <c r="C9" i="16"/>
  <c r="C10" i="16"/>
  <c r="D10" i="16" s="1"/>
  <c r="E10" i="16" s="1"/>
  <c r="F10" i="16" s="1"/>
  <c r="B12" i="16"/>
  <c r="C11" i="16" s="1"/>
  <c r="D11" i="16" s="1"/>
  <c r="E11" i="16" s="1"/>
  <c r="F11" i="16" s="1"/>
  <c r="A3" i="16"/>
  <c r="A4" i="16" s="1"/>
  <c r="A5" i="16" s="1"/>
  <c r="A6" i="16" s="1"/>
  <c r="A7" i="16" s="1"/>
  <c r="A8" i="16" s="1"/>
  <c r="A9" i="16" s="1"/>
  <c r="A10" i="16" s="1"/>
  <c r="A11" i="16" s="1"/>
  <c r="T22" i="15"/>
  <c r="S22" i="15"/>
  <c r="R22" i="15"/>
  <c r="Q22" i="15"/>
  <c r="P22" i="15"/>
  <c r="O22" i="15"/>
  <c r="C26" i="15"/>
  <c r="D26" i="15"/>
  <c r="E26" i="15"/>
  <c r="B26" i="15"/>
  <c r="P8" i="15"/>
  <c r="P9" i="15" s="1"/>
  <c r="P7" i="15"/>
  <c r="C24" i="15"/>
  <c r="C25" i="15" s="1"/>
  <c r="E23" i="15"/>
  <c r="E24" i="15" s="1"/>
  <c r="E25" i="15" s="1"/>
  <c r="H2" i="15"/>
  <c r="C23" i="15"/>
  <c r="D23" i="15"/>
  <c r="D24" i="15" s="1"/>
  <c r="D25" i="15" s="1"/>
  <c r="B23" i="15"/>
  <c r="F23" i="15" s="1"/>
  <c r="G2" i="15" s="1"/>
  <c r="I2" i="15" s="1"/>
  <c r="E3" i="14"/>
  <c r="I3" i="14" s="1"/>
  <c r="F6" i="13"/>
  <c r="D2" i="13"/>
  <c r="A2" i="13"/>
  <c r="B2" i="13"/>
  <c r="F3" i="13"/>
  <c r="E10" i="12"/>
  <c r="E3" i="12"/>
  <c r="E4" i="12"/>
  <c r="E5" i="12"/>
  <c r="E6" i="12"/>
  <c r="E7" i="12"/>
  <c r="E8" i="12"/>
  <c r="E2" i="12"/>
  <c r="D10" i="12"/>
  <c r="D3" i="12"/>
  <c r="D4" i="12"/>
  <c r="D5" i="12"/>
  <c r="D6" i="12"/>
  <c r="D7" i="12"/>
  <c r="D8" i="12"/>
  <c r="D2" i="12"/>
  <c r="C3" i="12"/>
  <c r="C4" i="12"/>
  <c r="C5" i="12"/>
  <c r="C6" i="12"/>
  <c r="C7" i="12"/>
  <c r="C8" i="12"/>
  <c r="C2" i="12"/>
  <c r="B3" i="12"/>
  <c r="B4" i="12"/>
  <c r="B5" i="12"/>
  <c r="B6" i="12"/>
  <c r="B7" i="12"/>
  <c r="B8" i="12"/>
  <c r="B2" i="12"/>
  <c r="A10" i="12"/>
  <c r="G13" i="11"/>
  <c r="E11" i="11"/>
  <c r="E8" i="11"/>
  <c r="E9" i="11"/>
  <c r="E10" i="11"/>
  <c r="E7" i="11"/>
  <c r="D8" i="11"/>
  <c r="D9" i="11"/>
  <c r="D10" i="11"/>
  <c r="D7" i="11"/>
  <c r="C8" i="11"/>
  <c r="C9" i="11"/>
  <c r="C10" i="11"/>
  <c r="C7" i="11"/>
  <c r="B10" i="11"/>
  <c r="B9" i="11"/>
  <c r="B8" i="11"/>
  <c r="B7" i="11"/>
  <c r="L2" i="11"/>
  <c r="K2" i="11"/>
  <c r="A10" i="11"/>
  <c r="A9" i="11"/>
  <c r="A8" i="11"/>
  <c r="A7" i="11"/>
  <c r="G11" i="10"/>
  <c r="F5" i="10"/>
  <c r="F4" i="10"/>
  <c r="C4" i="10"/>
  <c r="B4" i="10"/>
  <c r="F3" i="10"/>
  <c r="D3" i="10"/>
  <c r="F2" i="10"/>
  <c r="D2" i="10"/>
  <c r="K9" i="9"/>
  <c r="F5" i="9"/>
  <c r="F4" i="9"/>
  <c r="F3" i="9"/>
  <c r="F2" i="9"/>
  <c r="D3" i="9"/>
  <c r="D2" i="9"/>
  <c r="C4" i="9"/>
  <c r="B4" i="9"/>
  <c r="L2" i="8"/>
  <c r="J2" i="8"/>
  <c r="H2" i="8"/>
  <c r="F2" i="8"/>
  <c r="E2" i="8"/>
  <c r="D9" i="8"/>
  <c r="D3" i="8"/>
  <c r="D4" i="8"/>
  <c r="D5" i="8"/>
  <c r="D6" i="8"/>
  <c r="D7" i="8"/>
  <c r="D2" i="8"/>
  <c r="C2" i="8"/>
  <c r="C3" i="8"/>
  <c r="C4" i="8"/>
  <c r="C5" i="8"/>
  <c r="C6" i="8"/>
  <c r="C7" i="8"/>
  <c r="B2" i="8"/>
  <c r="A9" i="8"/>
  <c r="H3" i="5"/>
  <c r="I5" i="5" s="1"/>
  <c r="H4" i="2"/>
  <c r="H5" i="2" s="1"/>
  <c r="F2" i="7"/>
  <c r="K2" i="7" s="1"/>
  <c r="E2" i="7"/>
  <c r="J2" i="7" s="1"/>
  <c r="B2" i="6"/>
  <c r="H10" i="4"/>
  <c r="H9" i="4"/>
  <c r="H5" i="4"/>
  <c r="I7" i="4" s="1"/>
  <c r="F5" i="1"/>
  <c r="J5" i="3"/>
  <c r="J3" i="3"/>
  <c r="J2" i="3"/>
  <c r="J10" i="3"/>
  <c r="C3" i="3"/>
  <c r="C4" i="3"/>
  <c r="C5" i="3"/>
  <c r="C6" i="3"/>
  <c r="C7" i="3"/>
  <c r="C8" i="3"/>
  <c r="C9" i="3"/>
  <c r="C10" i="3"/>
  <c r="C2" i="3"/>
  <c r="B11" i="1"/>
  <c r="B10" i="1"/>
  <c r="D24" i="18" l="1"/>
  <c r="F24" i="18" s="1"/>
  <c r="D25" i="18"/>
  <c r="F25" i="18" s="1"/>
  <c r="E22" i="18"/>
  <c r="G22" i="18" s="1"/>
  <c r="E25" i="18"/>
  <c r="G25" i="18" s="1"/>
  <c r="E15" i="18"/>
  <c r="L2" i="18" s="1"/>
  <c r="F15" i="18"/>
  <c r="C17" i="19"/>
  <c r="H2" i="19" s="1"/>
  <c r="D17" i="19"/>
  <c r="F2" i="19" s="1"/>
  <c r="B44" i="16"/>
  <c r="G37" i="16" s="1"/>
  <c r="H37" i="16" s="1"/>
  <c r="I37" i="16" s="1"/>
  <c r="C43" i="16"/>
  <c r="G36" i="16" s="1"/>
  <c r="H36" i="16" s="1"/>
  <c r="I36" i="16" s="1"/>
  <c r="I39" i="16" s="1"/>
  <c r="M35" i="16" s="1"/>
  <c r="D23" i="18"/>
  <c r="D22" i="18"/>
  <c r="E9" i="22"/>
  <c r="G9" i="22" s="1"/>
  <c r="F4" i="22"/>
  <c r="D9" i="22"/>
  <c r="D3" i="22"/>
  <c r="D2" i="22"/>
  <c r="E7" i="22"/>
  <c r="G7" i="22" s="1"/>
  <c r="D8" i="22"/>
  <c r="E6" i="22"/>
  <c r="G6" i="22" s="1"/>
  <c r="D7" i="22"/>
  <c r="E5" i="22"/>
  <c r="G5" i="22" s="1"/>
  <c r="D6" i="22"/>
  <c r="E4" i="22"/>
  <c r="G4" i="22" s="1"/>
  <c r="D5" i="22"/>
  <c r="E3" i="22"/>
  <c r="G3" i="22" s="1"/>
  <c r="E2" i="22"/>
  <c r="E6" i="20"/>
  <c r="F6" i="20" s="1"/>
  <c r="E8" i="20"/>
  <c r="F8" i="20" s="1"/>
  <c r="E7" i="20"/>
  <c r="F7" i="20" s="1"/>
  <c r="E4" i="20"/>
  <c r="F4" i="20" s="1"/>
  <c r="F14" i="20"/>
  <c r="E21" i="18"/>
  <c r="G21" i="18" s="1"/>
  <c r="E24" i="18"/>
  <c r="D21" i="18"/>
  <c r="E23" i="18"/>
  <c r="G23" i="18" s="1"/>
  <c r="G2" i="19"/>
  <c r="E2" i="17"/>
  <c r="E4" i="17"/>
  <c r="E6" i="17"/>
  <c r="E5" i="17"/>
  <c r="D3" i="17"/>
  <c r="F3" i="17" s="1"/>
  <c r="D4" i="17"/>
  <c r="D6" i="17"/>
  <c r="D5" i="17"/>
  <c r="D2" i="17"/>
  <c r="C3" i="16"/>
  <c r="D3" i="16" s="1"/>
  <c r="E3" i="16" s="1"/>
  <c r="F3" i="16" s="1"/>
  <c r="C2" i="16"/>
  <c r="D2" i="16" s="1"/>
  <c r="E2" i="16" s="1"/>
  <c r="F2" i="16" s="1"/>
  <c r="F12" i="16" s="1"/>
  <c r="I2" i="16" s="1"/>
  <c r="B24" i="15"/>
  <c r="I6" i="4"/>
  <c r="D4" i="10"/>
  <c r="F6" i="10"/>
  <c r="F6" i="9"/>
  <c r="D4" i="9"/>
  <c r="B11" i="9" s="1"/>
  <c r="G4" i="9" s="1"/>
  <c r="H4" i="9" s="1"/>
  <c r="I4" i="9" s="1"/>
  <c r="J4" i="9" s="1"/>
  <c r="N2" i="7"/>
  <c r="R6" i="7" s="1"/>
  <c r="H2" i="7"/>
  <c r="I2" i="7" s="1"/>
  <c r="R4" i="7" s="1"/>
  <c r="I4" i="5"/>
  <c r="C13" i="3"/>
  <c r="D2" i="3" s="1"/>
  <c r="F6" i="17" l="1"/>
  <c r="F2" i="17"/>
  <c r="F4" i="17"/>
  <c r="H21" i="18"/>
  <c r="G24" i="18"/>
  <c r="G32" i="18" s="1"/>
  <c r="H24" i="18"/>
  <c r="F22" i="18"/>
  <c r="H22" i="18"/>
  <c r="F23" i="18"/>
  <c r="H23" i="18"/>
  <c r="F7" i="22"/>
  <c r="H7" i="22"/>
  <c r="H8" i="22"/>
  <c r="F8" i="22"/>
  <c r="E14" i="22"/>
  <c r="G2" i="22"/>
  <c r="G14" i="22" s="1"/>
  <c r="H2" i="22"/>
  <c r="D14" i="22"/>
  <c r="F2" i="22"/>
  <c r="F3" i="22"/>
  <c r="H3" i="22"/>
  <c r="F5" i="22"/>
  <c r="H5" i="22"/>
  <c r="H9" i="22"/>
  <c r="F9" i="22"/>
  <c r="H4" i="22"/>
  <c r="F6" i="22"/>
  <c r="H6" i="22"/>
  <c r="D32" i="18"/>
  <c r="F21" i="18"/>
  <c r="E32" i="18"/>
  <c r="J2" i="19"/>
  <c r="K2" i="19" s="1"/>
  <c r="L2" i="19" s="1"/>
  <c r="N2" i="19" s="1"/>
  <c r="F5" i="17"/>
  <c r="F9" i="17" s="1"/>
  <c r="H2" i="17" s="1"/>
  <c r="B25" i="15"/>
  <c r="F25" i="15" s="1"/>
  <c r="J2" i="15" s="1"/>
  <c r="K2" i="15" s="1"/>
  <c r="F24" i="15"/>
  <c r="B10" i="9"/>
  <c r="G2" i="9" s="1"/>
  <c r="C10" i="9"/>
  <c r="G3" i="9" s="1"/>
  <c r="H3" i="9" s="1"/>
  <c r="I3" i="9" s="1"/>
  <c r="J3" i="9" s="1"/>
  <c r="C11" i="9"/>
  <c r="G5" i="9" s="1"/>
  <c r="H5" i="9" s="1"/>
  <c r="I5" i="9" s="1"/>
  <c r="J5" i="9" s="1"/>
  <c r="R7" i="7"/>
  <c r="D10" i="3"/>
  <c r="D3" i="3"/>
  <c r="D4" i="3"/>
  <c r="D5" i="3"/>
  <c r="D6" i="3"/>
  <c r="D7" i="3"/>
  <c r="D8" i="3"/>
  <c r="D9" i="3"/>
  <c r="H32" i="18" l="1"/>
  <c r="J21" i="18" s="1"/>
  <c r="L21" i="18"/>
  <c r="F32" i="18"/>
  <c r="K21" i="18" s="1"/>
  <c r="F14" i="22"/>
  <c r="H14" i="22"/>
  <c r="Q7" i="15"/>
  <c r="L2" i="15"/>
  <c r="Q8" i="15" s="1"/>
  <c r="R8" i="15" s="1"/>
  <c r="P16" i="15" s="1"/>
  <c r="P18" i="15" s="1"/>
  <c r="O7" i="7"/>
  <c r="O8" i="7"/>
  <c r="G6" i="9"/>
  <c r="H6" i="9" s="1"/>
  <c r="I6" i="9" s="1"/>
  <c r="H2" i="9"/>
  <c r="I2" i="9" s="1"/>
  <c r="J2" i="9" s="1"/>
  <c r="J6" i="9" s="1"/>
  <c r="D13" i="3"/>
  <c r="M21" i="18" l="1"/>
  <c r="N21" i="18" s="1"/>
  <c r="J2" i="22"/>
  <c r="M2" i="22" s="1"/>
  <c r="I2" i="22"/>
  <c r="N2" i="22" s="1"/>
  <c r="Q9" i="15"/>
  <c r="R7" i="15"/>
  <c r="S7" i="15" s="1"/>
  <c r="K12" i="9"/>
  <c r="K8" i="9"/>
  <c r="J11" i="3"/>
  <c r="J12" i="3"/>
  <c r="J9" i="3" l="1"/>
  <c r="C2" i="6"/>
  <c r="H4" i="6" s="1"/>
  <c r="I5" i="6" l="1"/>
  <c r="I6" i="6"/>
  <c r="J2" i="18"/>
  <c r="K2" i="18"/>
  <c r="M2" i="18" s="1"/>
  <c r="N2" i="18" l="1"/>
</calcChain>
</file>

<file path=xl/sharedStrings.xml><?xml version="1.0" encoding="utf-8"?>
<sst xmlns="http://schemas.openxmlformats.org/spreadsheetml/2006/main" count="360" uniqueCount="251">
  <si>
    <t>M0</t>
  </si>
  <si>
    <t>x bar</t>
  </si>
  <si>
    <t>n</t>
  </si>
  <si>
    <t>s</t>
  </si>
  <si>
    <t>H0</t>
  </si>
  <si>
    <t>M0 = M1</t>
  </si>
  <si>
    <t>H1</t>
  </si>
  <si>
    <t>M0 &gt; M1</t>
  </si>
  <si>
    <t xml:space="preserve">|t| = </t>
  </si>
  <si>
    <t>Table Value</t>
  </si>
  <si>
    <t>Accept/Reject  Null Hypothese</t>
  </si>
  <si>
    <t>95% of CI for MU</t>
  </si>
  <si>
    <t>X1 Bar</t>
  </si>
  <si>
    <t>X2 Bar</t>
  </si>
  <si>
    <t>N1</t>
  </si>
  <si>
    <t>N2</t>
  </si>
  <si>
    <t xml:space="preserve">S1 </t>
  </si>
  <si>
    <t>S2</t>
  </si>
  <si>
    <t>|t|</t>
  </si>
  <si>
    <t>Table Vlalue</t>
  </si>
  <si>
    <t>Value Before</t>
  </si>
  <si>
    <t>Value After</t>
  </si>
  <si>
    <t>d= y-x</t>
  </si>
  <si>
    <t>(d-dbar)</t>
  </si>
  <si>
    <t>Sum</t>
  </si>
  <si>
    <t>Sdandard Devition</t>
  </si>
  <si>
    <t>Mean</t>
  </si>
  <si>
    <t>Sum(d)/n</t>
  </si>
  <si>
    <t>Sqrt(Sum(d-mean)/n)</t>
  </si>
  <si>
    <t>abs(dbar - MU0)/(SD/sqrt(n)))</t>
  </si>
  <si>
    <t>MO0</t>
  </si>
  <si>
    <t>Ttab</t>
  </si>
  <si>
    <t>p-value</t>
  </si>
  <si>
    <t>Critical Value</t>
  </si>
  <si>
    <t xml:space="preserve">Reject/Accept </t>
  </si>
  <si>
    <t>95% CI</t>
  </si>
  <si>
    <t>EST-t*SE</t>
  </si>
  <si>
    <t>Count</t>
  </si>
  <si>
    <t>z</t>
  </si>
  <si>
    <t>mo</t>
  </si>
  <si>
    <t>xbar</t>
  </si>
  <si>
    <t>sigma</t>
  </si>
  <si>
    <t>critical value - 5%</t>
  </si>
  <si>
    <t>critical value - 1%</t>
  </si>
  <si>
    <t>x2-Bar</t>
  </si>
  <si>
    <t>x1-Bar</t>
  </si>
  <si>
    <t>sigma1^2</t>
  </si>
  <si>
    <t>sigma2^2</t>
  </si>
  <si>
    <t>n1</t>
  </si>
  <si>
    <t>n2</t>
  </si>
  <si>
    <t>CI(-)</t>
  </si>
  <si>
    <t>c(+)</t>
  </si>
  <si>
    <t>p1</t>
  </si>
  <si>
    <t>p2</t>
  </si>
  <si>
    <t>p1q1</t>
  </si>
  <si>
    <t>p</t>
  </si>
  <si>
    <t>q</t>
  </si>
  <si>
    <t>pq</t>
  </si>
  <si>
    <t>P0</t>
  </si>
  <si>
    <t>z=</t>
  </si>
  <si>
    <t>p2q2</t>
  </si>
  <si>
    <t>q1</t>
  </si>
  <si>
    <t>q2</t>
  </si>
  <si>
    <t>P</t>
  </si>
  <si>
    <t>Q</t>
  </si>
  <si>
    <t>PQ</t>
  </si>
  <si>
    <t>SE</t>
  </si>
  <si>
    <t xml:space="preserve">z= </t>
  </si>
  <si>
    <t>CI -</t>
  </si>
  <si>
    <t>CI +</t>
  </si>
  <si>
    <t>x1</t>
  </si>
  <si>
    <t>x2</t>
  </si>
  <si>
    <t>X-Bar</t>
  </si>
  <si>
    <t>values x</t>
  </si>
  <si>
    <t>x-xBar</t>
  </si>
  <si>
    <t>(x-xBar^2)</t>
  </si>
  <si>
    <t>Varinece S2</t>
  </si>
  <si>
    <t>SD S</t>
  </si>
  <si>
    <t>Mu</t>
  </si>
  <si>
    <t>Critical Value 5%</t>
  </si>
  <si>
    <t>Accept/Reject</t>
  </si>
  <si>
    <t>Critical Value 1%</t>
  </si>
  <si>
    <t>X</t>
  </si>
  <si>
    <t>Y</t>
  </si>
  <si>
    <t>Total</t>
  </si>
  <si>
    <t>x</t>
  </si>
  <si>
    <t>y</t>
  </si>
  <si>
    <t>Expexted Values</t>
  </si>
  <si>
    <t>(Oi-Ei)^2</t>
  </si>
  <si>
    <t>(Oi-Ei)</t>
  </si>
  <si>
    <t>Ei</t>
  </si>
  <si>
    <t>Oi</t>
  </si>
  <si>
    <t>sum</t>
  </si>
  <si>
    <t>(Oi-Ei)^2/Ei</t>
  </si>
  <si>
    <t>so X^2</t>
  </si>
  <si>
    <t>DF</t>
  </si>
  <si>
    <t>0.05 Critical</t>
  </si>
  <si>
    <t>0.01 Critical</t>
  </si>
  <si>
    <t>P value</t>
  </si>
  <si>
    <t>if expected frequency less than 4 we will go for fisherProbability</t>
  </si>
  <si>
    <t>Total Student</t>
  </si>
  <si>
    <t>Failed</t>
  </si>
  <si>
    <t>3rd Class</t>
  </si>
  <si>
    <t>2nd class</t>
  </si>
  <si>
    <t>1st class</t>
  </si>
  <si>
    <t>Actual Figure</t>
  </si>
  <si>
    <t>4:3:2:1</t>
  </si>
  <si>
    <t>Observe Value</t>
  </si>
  <si>
    <t>Expected Value</t>
  </si>
  <si>
    <t xml:space="preserve">TOMultiply </t>
  </si>
  <si>
    <t>O-E</t>
  </si>
  <si>
    <t>(O-E)^2</t>
  </si>
  <si>
    <t>(O-E)^2/E</t>
  </si>
  <si>
    <t>X^2</t>
  </si>
  <si>
    <t>o</t>
  </si>
  <si>
    <t>E</t>
  </si>
  <si>
    <t>S^2</t>
  </si>
  <si>
    <t>sigma^2</t>
  </si>
  <si>
    <t>chi^2</t>
  </si>
  <si>
    <t>So Value for DF 5%</t>
  </si>
  <si>
    <t>Reject/Don't Reject H0</t>
  </si>
  <si>
    <t>s1^2</t>
  </si>
  <si>
    <t>S2^2</t>
  </si>
  <si>
    <t>F</t>
  </si>
  <si>
    <t>Critical value</t>
  </si>
  <si>
    <t>Don't reject/Reject H0</t>
  </si>
  <si>
    <t>Group1</t>
  </si>
  <si>
    <t>Group2</t>
  </si>
  <si>
    <t>group3</t>
  </si>
  <si>
    <t>Group4</t>
  </si>
  <si>
    <t>G</t>
  </si>
  <si>
    <t>Correction Factor CG</t>
  </si>
  <si>
    <t>TSS</t>
  </si>
  <si>
    <t>𝜮𝜮x2</t>
  </si>
  <si>
    <t>GSS</t>
  </si>
  <si>
    <t>𝜮C^2/n</t>
  </si>
  <si>
    <t>Wss</t>
  </si>
  <si>
    <t>Source Of Validation</t>
  </si>
  <si>
    <t>Between Groups</t>
  </si>
  <si>
    <t>With in Groups</t>
  </si>
  <si>
    <t>SUM OF Squres</t>
  </si>
  <si>
    <t>Mean Sum Of Squares</t>
  </si>
  <si>
    <t>F-Raatio</t>
  </si>
  <si>
    <t>F(4.54) &gt; F(0.05, 3, 36) = 4.38</t>
  </si>
  <si>
    <t>s^2</t>
  </si>
  <si>
    <t>alf for 36 DF T-Table</t>
  </si>
  <si>
    <t>LCD</t>
  </si>
  <si>
    <t>SUM*2</t>
  </si>
  <si>
    <t>SUM*2/n</t>
  </si>
  <si>
    <t>SUM/N</t>
  </si>
  <si>
    <t>Diff</t>
  </si>
  <si>
    <t>G1-G2</t>
  </si>
  <si>
    <t>G1-G3</t>
  </si>
  <si>
    <t>G1-G4</t>
  </si>
  <si>
    <t>G2-G3</t>
  </si>
  <si>
    <t>G2-G4</t>
  </si>
  <si>
    <t>G3-G4</t>
  </si>
  <si>
    <t>Digits</t>
  </si>
  <si>
    <t>f</t>
  </si>
  <si>
    <t>Observed Value</t>
  </si>
  <si>
    <t>f-o</t>
  </si>
  <si>
    <t>(f-o)^2</t>
  </si>
  <si>
    <t>((f-o)^2)/e</t>
  </si>
  <si>
    <t>CriticalValue</t>
  </si>
  <si>
    <t>MG</t>
  </si>
  <si>
    <t>MR</t>
  </si>
  <si>
    <t>RG</t>
  </si>
  <si>
    <t>RR</t>
  </si>
  <si>
    <t>Frequency</t>
  </si>
  <si>
    <t>Ratio</t>
  </si>
  <si>
    <t>N</t>
  </si>
  <si>
    <t>((f-o)^2)/E</t>
  </si>
  <si>
    <t>SUM</t>
  </si>
  <si>
    <t>x1-Mean1</t>
  </si>
  <si>
    <t>x2-mean2</t>
  </si>
  <si>
    <t>(x1-Mean1)*(x2-Mean2)</t>
  </si>
  <si>
    <t>Cov(x1, x2)</t>
  </si>
  <si>
    <t>x^2</t>
  </si>
  <si>
    <t>x2^2</t>
  </si>
  <si>
    <t>x1^2</t>
  </si>
  <si>
    <t>xy</t>
  </si>
  <si>
    <t>r</t>
  </si>
  <si>
    <t>numerator</t>
  </si>
  <si>
    <t>SUM(x)SUM(y)</t>
  </si>
  <si>
    <t>n.SUM(XY)</t>
  </si>
  <si>
    <t>n*SUM(x)^2</t>
  </si>
  <si>
    <t>(SUM(x))^2</t>
  </si>
  <si>
    <t>B1</t>
  </si>
  <si>
    <t>B1*SUM(x)</t>
  </si>
  <si>
    <t>B0</t>
  </si>
  <si>
    <t>new x</t>
  </si>
  <si>
    <t>Denumarator-1</t>
  </si>
  <si>
    <t>Denumarator-Final</t>
  </si>
  <si>
    <t>R</t>
  </si>
  <si>
    <t>Another Way</t>
  </si>
  <si>
    <t>u = x-xbar</t>
  </si>
  <si>
    <t>v = x-xbar</t>
  </si>
  <si>
    <t>u^2</t>
  </si>
  <si>
    <t>v^2</t>
  </si>
  <si>
    <t>uv</t>
  </si>
  <si>
    <t>x-Rank</t>
  </si>
  <si>
    <t>Y-Rank</t>
  </si>
  <si>
    <t>d=X-Rank-Y-Rank</t>
  </si>
  <si>
    <t>d^2</t>
  </si>
  <si>
    <t>n^2</t>
  </si>
  <si>
    <t>6Sifmad^2</t>
  </si>
  <si>
    <t>y-rank</t>
  </si>
  <si>
    <t>x-rank</t>
  </si>
  <si>
    <t>d = x-r-y-r</t>
  </si>
  <si>
    <t>n(n^2-1)</t>
  </si>
  <si>
    <t>m-1</t>
  </si>
  <si>
    <t>m-2</t>
  </si>
  <si>
    <t>m-3</t>
  </si>
  <si>
    <t>.</t>
  </si>
  <si>
    <t>Total-m</t>
  </si>
  <si>
    <t>d^2+Total-M</t>
  </si>
  <si>
    <t>6*Q</t>
  </si>
  <si>
    <t>R/I</t>
  </si>
  <si>
    <t>1-S</t>
  </si>
  <si>
    <t>Age</t>
  </si>
  <si>
    <t>Weight</t>
  </si>
  <si>
    <r>
      <t xml:space="preserve">x </t>
    </r>
    <r>
      <rPr>
        <sz val="24"/>
        <color theme="1"/>
        <rFont val="Times New Roman"/>
        <family val="1"/>
      </rPr>
      <t xml:space="preserve">, </t>
    </r>
    <r>
      <rPr>
        <sz val="24"/>
        <color theme="1"/>
        <rFont val="Times New Roman,Italic"/>
      </rPr>
      <t xml:space="preserve">y </t>
    </r>
  </si>
  <si>
    <t xml:space="preserve">are means </t>
  </si>
  <si>
    <t>x-xbar</t>
  </si>
  <si>
    <t>y-ybar</t>
  </si>
  <si>
    <t>D^2</t>
  </si>
  <si>
    <t>E^2</t>
  </si>
  <si>
    <t>D*E</t>
  </si>
  <si>
    <t>bxy</t>
  </si>
  <si>
    <t>byx</t>
  </si>
  <si>
    <t>X to calculate</t>
  </si>
  <si>
    <t>Y to calculate</t>
  </si>
  <si>
    <t>x on Y</t>
  </si>
  <si>
    <t xml:space="preserve">Y 0n x </t>
  </si>
  <si>
    <t>Sample -1</t>
  </si>
  <si>
    <t>A1</t>
  </si>
  <si>
    <t>A2</t>
  </si>
  <si>
    <t>OBSERVED VALUES</t>
  </si>
  <si>
    <t>EXPECTED VALUE</t>
  </si>
  <si>
    <t>Df</t>
  </si>
  <si>
    <t>Significance Level</t>
  </si>
  <si>
    <t>SE1</t>
  </si>
  <si>
    <t>SE2</t>
  </si>
  <si>
    <t>1-p1</t>
  </si>
  <si>
    <t>1-p2</t>
  </si>
  <si>
    <t>p1*q1</t>
  </si>
  <si>
    <t>p2*q2</t>
  </si>
  <si>
    <t>Diif</t>
  </si>
  <si>
    <t>SDDiff</t>
  </si>
  <si>
    <t>For 0.5</t>
  </si>
  <si>
    <t>Confidence Interval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</si>
</sst>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000"/>
  </numFmts>
  <fonts count="9">
    <font>
      <sz val="12"/>
      <color theme="1"/>
      <name val="Calibri"/>
      <family val="2"/>
      <scheme val="minor"/>
    </font>
    <font>
      <sz val="9"/>
      <color theme="1"/>
      <name val="TimesNewRoman"/>
    </font>
    <font>
      <sz val="12"/>
      <color rgb="FFFF0000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rgb="FF111111"/>
      <name val="Calibri"/>
      <family val="2"/>
      <scheme val="minor"/>
    </font>
    <font>
      <sz val="12"/>
      <color theme="1"/>
      <name val="Arial"/>
      <family val="2"/>
    </font>
    <font>
      <sz val="18"/>
      <color theme="1"/>
      <name val="Constantia"/>
    </font>
    <font>
      <sz val="24"/>
      <color theme="1"/>
      <name val="Times New Roman,Italic"/>
    </font>
    <font>
      <sz val="24"/>
      <color theme="1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2" borderId="0" xfId="0" applyFill="1"/>
    <xf numFmtId="2" fontId="0" fillId="0" borderId="0" xfId="0" applyNumberFormat="1"/>
    <xf numFmtId="0" fontId="1" fillId="0" borderId="0" xfId="0" applyFont="1"/>
    <xf numFmtId="0" fontId="3" fillId="0" borderId="0" xfId="0" applyFont="1"/>
    <xf numFmtId="0" fontId="2" fillId="3" borderId="0" xfId="0" applyFont="1" applyFill="1"/>
    <xf numFmtId="0" fontId="0" fillId="4" borderId="0" xfId="0" applyFill="1"/>
    <xf numFmtId="0" fontId="0" fillId="5" borderId="0" xfId="0" applyFill="1"/>
    <xf numFmtId="0" fontId="0" fillId="0" borderId="0" xfId="0" applyAlignment="1">
      <alignment wrapText="1"/>
    </xf>
    <xf numFmtId="0" fontId="4" fillId="0" borderId="0" xfId="0" applyFont="1"/>
    <xf numFmtId="0" fontId="6" fillId="0" borderId="0" xfId="0" applyFont="1"/>
    <xf numFmtId="0" fontId="7" fillId="0" borderId="0" xfId="0" applyFont="1"/>
    <xf numFmtId="164" fontId="0" fillId="0" borderId="0" xfId="0" applyNumberFormat="1"/>
    <xf numFmtId="0" fontId="0" fillId="6" borderId="0" xfId="0" applyFill="1"/>
    <xf numFmtId="165" fontId="0" fillId="0" borderId="0" xfId="0" applyNumberFormat="1"/>
    <xf numFmtId="2" fontId="0" fillId="2" borderId="0" xfId="0" applyNumberFormat="1" applyFill="1"/>
    <xf numFmtId="0" fontId="0" fillId="0" borderId="0" xfId="0" applyAlignment="1">
      <alignment vertical="center"/>
    </xf>
    <xf numFmtId="2" fontId="5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0.png"/><Relationship Id="rId13" Type="http://schemas.openxmlformats.org/officeDocument/2006/relationships/customXml" Target="../ink/ink9.xml"/><Relationship Id="rId3" Type="http://schemas.openxmlformats.org/officeDocument/2006/relationships/image" Target="../media/image33.png"/><Relationship Id="rId7" Type="http://schemas.openxmlformats.org/officeDocument/2006/relationships/customXml" Target="../ink/ink6.xml"/><Relationship Id="rId12" Type="http://schemas.openxmlformats.org/officeDocument/2006/relationships/image" Target="../media/image140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110.png"/><Relationship Id="rId11" Type="http://schemas.openxmlformats.org/officeDocument/2006/relationships/customXml" Target="../ink/ink8.xml"/><Relationship Id="rId5" Type="http://schemas.openxmlformats.org/officeDocument/2006/relationships/customXml" Target="../ink/ink5.xml"/><Relationship Id="rId15" Type="http://schemas.openxmlformats.org/officeDocument/2006/relationships/image" Target="../media/image35.png"/><Relationship Id="rId10" Type="http://schemas.openxmlformats.org/officeDocument/2006/relationships/image" Target="../media/image130.png"/><Relationship Id="rId4" Type="http://schemas.openxmlformats.org/officeDocument/2006/relationships/image" Target="../media/image34.png"/><Relationship Id="rId9" Type="http://schemas.openxmlformats.org/officeDocument/2006/relationships/customXml" Target="../ink/ink7.xml"/><Relationship Id="rId14" Type="http://schemas.openxmlformats.org/officeDocument/2006/relationships/image" Target="../media/image15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ustomXml" Target="../ink/ink1.xml"/><Relationship Id="rId13" Type="http://schemas.openxmlformats.org/officeDocument/2006/relationships/image" Target="../media/image16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customXml" Target="../ink/ink3.xml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5.png"/><Relationship Id="rId5" Type="http://schemas.openxmlformats.org/officeDocument/2006/relationships/image" Target="../media/image11.png"/><Relationship Id="rId15" Type="http://schemas.openxmlformats.org/officeDocument/2006/relationships/image" Target="../media/image17.png"/><Relationship Id="rId10" Type="http://schemas.openxmlformats.org/officeDocument/2006/relationships/customXml" Target="../ink/ink2.xml"/><Relationship Id="rId4" Type="http://schemas.openxmlformats.org/officeDocument/2006/relationships/image" Target="../media/image10.png"/><Relationship Id="rId9" Type="http://schemas.openxmlformats.org/officeDocument/2006/relationships/image" Target="../media/image14.png"/><Relationship Id="rId14" Type="http://schemas.openxmlformats.org/officeDocument/2006/relationships/customXml" Target="../ink/ink4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18</xdr:row>
      <xdr:rowOff>101600</xdr:rowOff>
    </xdr:from>
    <xdr:to>
      <xdr:col>15</xdr:col>
      <xdr:colOff>635000</xdr:colOff>
      <xdr:row>37</xdr:row>
      <xdr:rowOff>40497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642D1-1041-A134-18AC-3F840D82D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26400" y="3759200"/>
          <a:ext cx="7772400" cy="379969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469900</xdr:colOff>
      <xdr:row>33</xdr:row>
      <xdr:rowOff>12700</xdr:rowOff>
    </xdr:from>
    <xdr:to>
      <xdr:col>25</xdr:col>
      <xdr:colOff>812800</xdr:colOff>
      <xdr:row>40</xdr:row>
      <xdr:rowOff>179424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EB5B367-0BB0-8C29-B12A-8DFDB83FC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77900" y="6718300"/>
          <a:ext cx="7772400" cy="158912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596900</xdr:colOff>
      <xdr:row>29</xdr:row>
      <xdr:rowOff>88900</xdr:rowOff>
    </xdr:from>
    <xdr:to>
      <xdr:col>23</xdr:col>
      <xdr:colOff>114300</xdr:colOff>
      <xdr:row>42</xdr:row>
      <xdr:rowOff>139801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28A4F1-013A-71B5-58E0-DF3DEF26B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77400" y="5600700"/>
          <a:ext cx="7772400" cy="2984601"/>
        </a:xfrm>
        <a:prstGeom prst="rect">
          <a:avLst/>
        </a:prstGeom>
      </xdr:spPr>
    </xdr:pic>
    <xdr:clientData/>
  </xdr:twoCellAnchor>
  <xdr:twoCellAnchor editAs="oneCell">
    <xdr:from>
      <xdr:col>1</xdr:col>
      <xdr:colOff>774700</xdr:colOff>
      <xdr:row>28</xdr:row>
      <xdr:rowOff>139700</xdr:rowOff>
    </xdr:from>
    <xdr:to>
      <xdr:col>11</xdr:col>
      <xdr:colOff>292100</xdr:colOff>
      <xdr:row>46</xdr:row>
      <xdr:rowOff>309784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F0326D-7F7E-03EA-800A-3670545DA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0200" y="5334000"/>
          <a:ext cx="7772400" cy="423408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101600</xdr:colOff>
      <xdr:row>19</xdr:row>
      <xdr:rowOff>101600</xdr:rowOff>
    </xdr:from>
    <xdr:to>
      <xdr:col>16</xdr:col>
      <xdr:colOff>444500</xdr:colOff>
      <xdr:row>38</xdr:row>
      <xdr:rowOff>96453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7E252C-2657-4A88-5B97-1E64B9B78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581900" y="3962400"/>
          <a:ext cx="7772400" cy="385565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711200</xdr:colOff>
      <xdr:row>17</xdr:row>
      <xdr:rowOff>127000</xdr:rowOff>
    </xdr:from>
    <xdr:to>
      <xdr:col>21</xdr:col>
      <xdr:colOff>228600</xdr:colOff>
      <xdr:row>37</xdr:row>
      <xdr:rowOff>9357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F29F2C-834C-7F2F-7F21-106880FC2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91700" y="3581400"/>
          <a:ext cx="7772400" cy="394635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736600</xdr:colOff>
      <xdr:row>8</xdr:row>
      <xdr:rowOff>0</xdr:rowOff>
    </xdr:from>
    <xdr:to>
      <xdr:col>20</xdr:col>
      <xdr:colOff>254000</xdr:colOff>
      <xdr:row>35</xdr:row>
      <xdr:rowOff>185917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53F6229-8D46-6394-7375-B1C72DA3E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91600" y="1625600"/>
          <a:ext cx="7772400" cy="5672317"/>
        </a:xfrm>
        <a:prstGeom prst="rect">
          <a:avLst/>
        </a:prstGeom>
      </xdr:spPr>
    </xdr:pic>
    <xdr:clientData/>
  </xdr:twoCellAnchor>
  <xdr:twoCellAnchor editAs="oneCell">
    <xdr:from>
      <xdr:col>0</xdr:col>
      <xdr:colOff>355600</xdr:colOff>
      <xdr:row>13</xdr:row>
      <xdr:rowOff>152400</xdr:rowOff>
    </xdr:from>
    <xdr:to>
      <xdr:col>9</xdr:col>
      <xdr:colOff>698500</xdr:colOff>
      <xdr:row>35</xdr:row>
      <xdr:rowOff>85532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05EFC2-9FEE-BDB2-A823-596E3EE89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5600" y="2794000"/>
          <a:ext cx="7772400" cy="440353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698500</xdr:colOff>
      <xdr:row>8</xdr:row>
      <xdr:rowOff>139701</xdr:rowOff>
    </xdr:from>
    <xdr:to>
      <xdr:col>22</xdr:col>
      <xdr:colOff>95328</xdr:colOff>
      <xdr:row>27</xdr:row>
      <xdr:rowOff>165101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0AE127-BBEF-6C92-BB27-87E4D5EAD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53500" y="1765301"/>
          <a:ext cx="5175328" cy="3886200"/>
        </a:xfrm>
        <a:prstGeom prst="rect">
          <a:avLst/>
        </a:prstGeom>
      </xdr:spPr>
    </xdr:pic>
    <xdr:clientData/>
  </xdr:twoCellAnchor>
  <xdr:twoCellAnchor editAs="oneCell">
    <xdr:from>
      <xdr:col>22</xdr:col>
      <xdr:colOff>139700</xdr:colOff>
      <xdr:row>8</xdr:row>
      <xdr:rowOff>190500</xdr:rowOff>
    </xdr:from>
    <xdr:to>
      <xdr:col>28</xdr:col>
      <xdr:colOff>635000</xdr:colOff>
      <xdr:row>28</xdr:row>
      <xdr:rowOff>52547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E074E4-C8B7-657E-54A4-DDC3D7AAF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173200" y="1816100"/>
          <a:ext cx="5448300" cy="3926047"/>
        </a:xfrm>
        <a:prstGeom prst="rect">
          <a:avLst/>
        </a:prstGeom>
      </xdr:spPr>
    </xdr:pic>
    <xdr:clientData/>
  </xdr:twoCellAnchor>
  <xdr:twoCellAnchor editAs="oneCell">
    <xdr:from>
      <xdr:col>16</xdr:col>
      <xdr:colOff>177800</xdr:colOff>
      <xdr:row>29</xdr:row>
      <xdr:rowOff>52832</xdr:rowOff>
    </xdr:from>
    <xdr:to>
      <xdr:col>21</xdr:col>
      <xdr:colOff>812800</xdr:colOff>
      <xdr:row>45</xdr:row>
      <xdr:rowOff>40132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96230F1-0199-FCAE-9FFB-19EB0B136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258300" y="5945632"/>
          <a:ext cx="4762500" cy="3238500"/>
        </a:xfrm>
        <a:prstGeom prst="rect">
          <a:avLst/>
        </a:prstGeom>
      </xdr:spPr>
    </xdr:pic>
    <xdr:clientData/>
  </xdr:twoCellAnchor>
  <xdr:twoCellAnchor editAs="oneCell">
    <xdr:from>
      <xdr:col>9</xdr:col>
      <xdr:colOff>749300</xdr:colOff>
      <xdr:row>28</xdr:row>
      <xdr:rowOff>88900</xdr:rowOff>
    </xdr:from>
    <xdr:to>
      <xdr:col>18</xdr:col>
      <xdr:colOff>127000</xdr:colOff>
      <xdr:row>38</xdr:row>
      <xdr:rowOff>139700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E7B0CE-3EBA-EB13-565C-47AAB7310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78800" y="5778500"/>
          <a:ext cx="6807200" cy="2082800"/>
        </a:xfrm>
        <a:prstGeom prst="rect">
          <a:avLst/>
        </a:prstGeom>
      </xdr:spPr>
    </xdr:pic>
    <xdr:clientData/>
  </xdr:twoCellAnchor>
  <xdr:twoCellAnchor editAs="oneCell">
    <xdr:from>
      <xdr:col>15</xdr:col>
      <xdr:colOff>254940</xdr:colOff>
      <xdr:row>33</xdr:row>
      <xdr:rowOff>158880</xdr:rowOff>
    </xdr:from>
    <xdr:to>
      <xdr:col>15</xdr:col>
      <xdr:colOff>744540</xdr:colOff>
      <xdr:row>35</xdr:row>
      <xdr:rowOff>18520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">
          <xdr14:nvContentPartPr>
            <xdr14:cNvPr id="49" name="Ink 48">
              <a:extLst>
                <a:ext uri="{FF2B5EF4-FFF2-40B4-BE49-F238E27FC236}">
                  <a16:creationId xmlns:a16="http://schemas.microsoft.com/office/drawing/2014/main" id="{5EA7D26B-024F-E1EA-07D3-EA2C157E30A1}"/>
                </a:ext>
              </a:extLst>
            </xdr14:cNvPr>
            <xdr14:cNvContentPartPr/>
          </xdr14:nvContentPartPr>
          <xdr14:nvPr macro=""/>
          <xdr14:xfrm>
            <a:off x="12637440" y="6864480"/>
            <a:ext cx="489600" cy="266040"/>
          </xdr14:xfrm>
        </xdr:contentPart>
      </mc:Choice>
      <mc:Fallback xmlns="">
        <xdr:pic>
          <xdr:nvPicPr>
            <xdr:cNvPr id="49" name="Ink 48">
              <a:extLst>
                <a:ext uri="{FF2B5EF4-FFF2-40B4-BE49-F238E27FC236}">
                  <a16:creationId xmlns:a16="http://schemas.microsoft.com/office/drawing/2014/main" id="{5EA7D26B-024F-E1EA-07D3-EA2C157E30A1}"/>
                </a:ext>
              </a:extLst>
            </xdr:cNvPr>
            <xdr:cNvPicPr/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12619800" y="6846480"/>
              <a:ext cx="525240" cy="301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15</xdr:col>
      <xdr:colOff>214980</xdr:colOff>
      <xdr:row>36</xdr:row>
      <xdr:rowOff>52560</xdr:rowOff>
    </xdr:from>
    <xdr:to>
      <xdr:col>16</xdr:col>
      <xdr:colOff>11200</xdr:colOff>
      <xdr:row>37</xdr:row>
      <xdr:rowOff>76520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">
          <xdr14:nvContentPartPr>
            <xdr14:cNvPr id="54" name="Ink 53">
              <a:extLst>
                <a:ext uri="{FF2B5EF4-FFF2-40B4-BE49-F238E27FC236}">
                  <a16:creationId xmlns:a16="http://schemas.microsoft.com/office/drawing/2014/main" id="{17369B9C-B87D-ABAD-8D6F-1D52917EB594}"/>
                </a:ext>
              </a:extLst>
            </xdr14:cNvPr>
            <xdr14:cNvContentPartPr/>
          </xdr14:nvContentPartPr>
          <xdr14:nvPr macro=""/>
          <xdr14:xfrm>
            <a:off x="12597480" y="7367760"/>
            <a:ext cx="621720" cy="227160"/>
          </xdr14:xfrm>
        </xdr:contentPart>
      </mc:Choice>
      <mc:Fallback xmlns="">
        <xdr:pic>
          <xdr:nvPicPr>
            <xdr:cNvPr id="54" name="Ink 53">
              <a:extLst>
                <a:ext uri="{FF2B5EF4-FFF2-40B4-BE49-F238E27FC236}">
                  <a16:creationId xmlns:a16="http://schemas.microsoft.com/office/drawing/2014/main" id="{17369B9C-B87D-ABAD-8D6F-1D52917EB594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2579840" y="7350092"/>
              <a:ext cx="657360" cy="262857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61000</xdr:colOff>
      <xdr:row>30</xdr:row>
      <xdr:rowOff>197520</xdr:rowOff>
    </xdr:from>
    <xdr:to>
      <xdr:col>11</xdr:col>
      <xdr:colOff>812660</xdr:colOff>
      <xdr:row>33</xdr:row>
      <xdr:rowOff>154200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125" name="Ink 124">
              <a:extLst>
                <a:ext uri="{FF2B5EF4-FFF2-40B4-BE49-F238E27FC236}">
                  <a16:creationId xmlns:a16="http://schemas.microsoft.com/office/drawing/2014/main" id="{5795B3EA-6095-0392-AB90-051043699248}"/>
                </a:ext>
              </a:extLst>
            </xdr14:cNvPr>
            <xdr14:cNvContentPartPr/>
          </xdr14:nvContentPartPr>
          <xdr14:nvPr macro=""/>
          <xdr14:xfrm>
            <a:off x="8316000" y="6293520"/>
            <a:ext cx="1577160" cy="566280"/>
          </xdr14:xfrm>
        </xdr:contentPart>
      </mc:Choice>
      <mc:Fallback xmlns="">
        <xdr:pic>
          <xdr:nvPicPr>
            <xdr:cNvPr id="125" name="Ink 124">
              <a:extLst>
                <a:ext uri="{FF2B5EF4-FFF2-40B4-BE49-F238E27FC236}">
                  <a16:creationId xmlns:a16="http://schemas.microsoft.com/office/drawing/2014/main" id="{5795B3EA-6095-0392-AB90-051043699248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8298000" y="6275531"/>
              <a:ext cx="1612800" cy="601897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248920</xdr:colOff>
      <xdr:row>34</xdr:row>
      <xdr:rowOff>191480</xdr:rowOff>
    </xdr:from>
    <xdr:to>
      <xdr:col>12</xdr:col>
      <xdr:colOff>386040</xdr:colOff>
      <xdr:row>39</xdr:row>
      <xdr:rowOff>110040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149" name="Ink 148">
              <a:extLst>
                <a:ext uri="{FF2B5EF4-FFF2-40B4-BE49-F238E27FC236}">
                  <a16:creationId xmlns:a16="http://schemas.microsoft.com/office/drawing/2014/main" id="{4E52FDA3-448D-1C05-43C2-B2C1DAC64061}"/>
                </a:ext>
              </a:extLst>
            </xdr14:cNvPr>
            <xdr14:cNvContentPartPr/>
          </xdr14:nvContentPartPr>
          <xdr14:nvPr macro=""/>
          <xdr14:xfrm>
            <a:off x="8503920" y="7100280"/>
            <a:ext cx="1788120" cy="934560"/>
          </xdr14:xfrm>
        </xdr:contentPart>
      </mc:Choice>
      <mc:Fallback xmlns="">
        <xdr:pic>
          <xdr:nvPicPr>
            <xdr:cNvPr id="149" name="Ink 148">
              <a:extLst>
                <a:ext uri="{FF2B5EF4-FFF2-40B4-BE49-F238E27FC236}">
                  <a16:creationId xmlns:a16="http://schemas.microsoft.com/office/drawing/2014/main" id="{4E52FDA3-448D-1C05-43C2-B2C1DAC64061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8485920" y="7082287"/>
              <a:ext cx="1823760" cy="970186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289940</xdr:colOff>
      <xdr:row>37</xdr:row>
      <xdr:rowOff>155720</xdr:rowOff>
    </xdr:from>
    <xdr:to>
      <xdr:col>11</xdr:col>
      <xdr:colOff>711500</xdr:colOff>
      <xdr:row>38</xdr:row>
      <xdr:rowOff>196960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3">
          <xdr14:nvContentPartPr>
            <xdr14:cNvPr id="150" name="Ink 149">
              <a:extLst>
                <a:ext uri="{FF2B5EF4-FFF2-40B4-BE49-F238E27FC236}">
                  <a16:creationId xmlns:a16="http://schemas.microsoft.com/office/drawing/2014/main" id="{2427E9F8-8D9E-0F18-CF07-8D87A0090D50}"/>
                </a:ext>
              </a:extLst>
            </xdr14:cNvPr>
            <xdr14:cNvContentPartPr/>
          </xdr14:nvContentPartPr>
          <xdr14:nvPr macro=""/>
          <xdr14:xfrm>
            <a:off x="9370440" y="7674120"/>
            <a:ext cx="421560" cy="244440"/>
          </xdr14:xfrm>
        </xdr:contentPart>
      </mc:Choice>
      <mc:Fallback xmlns="">
        <xdr:pic>
          <xdr:nvPicPr>
            <xdr:cNvPr id="150" name="Ink 149">
              <a:extLst>
                <a:ext uri="{FF2B5EF4-FFF2-40B4-BE49-F238E27FC236}">
                  <a16:creationId xmlns:a16="http://schemas.microsoft.com/office/drawing/2014/main" id="{2427E9F8-8D9E-0F18-CF07-8D87A0090D50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9352800" y="7656480"/>
              <a:ext cx="457200" cy="280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0</xdr:colOff>
      <xdr:row>14</xdr:row>
      <xdr:rowOff>88900</xdr:rowOff>
    </xdr:from>
    <xdr:to>
      <xdr:col>8</xdr:col>
      <xdr:colOff>800100</xdr:colOff>
      <xdr:row>50</xdr:row>
      <xdr:rowOff>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BE0FCD-6F24-A270-5D22-8D6D7D54D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933700"/>
          <a:ext cx="7772400" cy="7226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241300</xdr:colOff>
      <xdr:row>14</xdr:row>
      <xdr:rowOff>101600</xdr:rowOff>
    </xdr:from>
    <xdr:to>
      <xdr:col>18</xdr:col>
      <xdr:colOff>584200</xdr:colOff>
      <xdr:row>36</xdr:row>
      <xdr:rowOff>129149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5D7841-938B-2DA3-224F-404E2BC6C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70800" y="2946400"/>
          <a:ext cx="7772400" cy="44979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457200</xdr:colOff>
      <xdr:row>30</xdr:row>
      <xdr:rowOff>127000</xdr:rowOff>
    </xdr:from>
    <xdr:to>
      <xdr:col>24</xdr:col>
      <xdr:colOff>800100</xdr:colOff>
      <xdr:row>50</xdr:row>
      <xdr:rowOff>196998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CD8B8A-EFCD-57AF-B11A-B92061055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39700" y="6223000"/>
          <a:ext cx="7772400" cy="4133998"/>
        </a:xfrm>
        <a:prstGeom prst="rect">
          <a:avLst/>
        </a:prstGeom>
      </xdr:spPr>
    </xdr:pic>
    <xdr:clientData/>
  </xdr:twoCellAnchor>
  <xdr:twoCellAnchor editAs="oneCell">
    <xdr:from>
      <xdr:col>5</xdr:col>
      <xdr:colOff>711200</xdr:colOff>
      <xdr:row>31</xdr:row>
      <xdr:rowOff>50800</xdr:rowOff>
    </xdr:from>
    <xdr:to>
      <xdr:col>15</xdr:col>
      <xdr:colOff>228600</xdr:colOff>
      <xdr:row>52</xdr:row>
      <xdr:rowOff>109689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67B6EF-52BD-F6F1-C1EC-5A94826CA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8700" y="6350000"/>
          <a:ext cx="7772400" cy="432608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571500</xdr:colOff>
      <xdr:row>30</xdr:row>
      <xdr:rowOff>101600</xdr:rowOff>
    </xdr:from>
    <xdr:to>
      <xdr:col>22</xdr:col>
      <xdr:colOff>88900</xdr:colOff>
      <xdr:row>51</xdr:row>
      <xdr:rowOff>1420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AC4C22C-F23A-EC6C-BCE1-E4B40FD2B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00" y="6197600"/>
          <a:ext cx="7772400" cy="4167020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</xdr:colOff>
      <xdr:row>30</xdr:row>
      <xdr:rowOff>152400</xdr:rowOff>
    </xdr:from>
    <xdr:to>
      <xdr:col>10</xdr:col>
      <xdr:colOff>762000</xdr:colOff>
      <xdr:row>50</xdr:row>
      <xdr:rowOff>140676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E02594-B148-064F-12E6-39C6A668D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28900" y="6248400"/>
          <a:ext cx="7772400" cy="405227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47</xdr:col>
      <xdr:colOff>812800</xdr:colOff>
      <xdr:row>196</xdr:row>
      <xdr:rowOff>76200</xdr:rowOff>
    </xdr:from>
    <xdr:to>
      <xdr:col>57</xdr:col>
      <xdr:colOff>330200</xdr:colOff>
      <xdr:row>216</xdr:row>
      <xdr:rowOff>169247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1D9E7F-5B9A-D666-D6FD-BF9CA149B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960300" y="40106600"/>
          <a:ext cx="7772400" cy="4157047"/>
        </a:xfrm>
        <a:prstGeom prst="rect">
          <a:avLst/>
        </a:prstGeom>
      </xdr:spPr>
    </xdr:pic>
    <xdr:clientData/>
  </xdr:twoCellAnchor>
  <xdr:twoCellAnchor editAs="oneCell">
    <xdr:from>
      <xdr:col>7</xdr:col>
      <xdr:colOff>457200</xdr:colOff>
      <xdr:row>58</xdr:row>
      <xdr:rowOff>38100</xdr:rowOff>
    </xdr:from>
    <xdr:to>
      <xdr:col>14</xdr:col>
      <xdr:colOff>1536700</xdr:colOff>
      <xdr:row>79</xdr:row>
      <xdr:rowOff>58505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27536B-8A35-4A1F-8E7A-8877B2BB4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89900" y="11823700"/>
          <a:ext cx="7772400" cy="4287605"/>
        </a:xfrm>
        <a:prstGeom prst="rect">
          <a:avLst/>
        </a:prstGeom>
      </xdr:spPr>
    </xdr:pic>
    <xdr:clientData/>
  </xdr:twoCellAnchor>
  <xdr:twoCellAnchor editAs="oneCell">
    <xdr:from>
      <xdr:col>14</xdr:col>
      <xdr:colOff>1536700</xdr:colOff>
      <xdr:row>58</xdr:row>
      <xdr:rowOff>114300</xdr:rowOff>
    </xdr:from>
    <xdr:to>
      <xdr:col>22</xdr:col>
      <xdr:colOff>533400</xdr:colOff>
      <xdr:row>79</xdr:row>
      <xdr:rowOff>173189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8F3A803-E3BB-569E-582F-3BF181620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862300" y="11899900"/>
          <a:ext cx="7772400" cy="43260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177800</xdr:rowOff>
    </xdr:from>
    <xdr:to>
      <xdr:col>7</xdr:col>
      <xdr:colOff>139700</xdr:colOff>
      <xdr:row>47</xdr:row>
      <xdr:rowOff>174835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AE7E557-7891-174E-323A-627B38920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461000"/>
          <a:ext cx="7772400" cy="4264235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26</xdr:row>
      <xdr:rowOff>139700</xdr:rowOff>
    </xdr:from>
    <xdr:to>
      <xdr:col>14</xdr:col>
      <xdr:colOff>1117600</xdr:colOff>
      <xdr:row>48</xdr:row>
      <xdr:rowOff>79345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4CE995F-66F5-8171-ADB0-4B457BB6F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70800" y="5422900"/>
          <a:ext cx="7772400" cy="4410045"/>
        </a:xfrm>
        <a:prstGeom prst="rect">
          <a:avLst/>
        </a:prstGeom>
      </xdr:spPr>
    </xdr:pic>
    <xdr:clientData/>
  </xdr:twoCellAnchor>
  <xdr:twoCellAnchor editAs="oneCell">
    <xdr:from>
      <xdr:col>22</xdr:col>
      <xdr:colOff>495300</xdr:colOff>
      <xdr:row>56</xdr:row>
      <xdr:rowOff>190500</xdr:rowOff>
    </xdr:from>
    <xdr:to>
      <xdr:col>32</xdr:col>
      <xdr:colOff>12700</xdr:colOff>
      <xdr:row>78</xdr:row>
      <xdr:rowOff>123451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DB54EE2-10BC-8ED2-5727-AB3CCBB05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005300" y="11772900"/>
          <a:ext cx="7772400" cy="4403351"/>
        </a:xfrm>
        <a:prstGeom prst="rect">
          <a:avLst/>
        </a:prstGeom>
      </xdr:spPr>
    </xdr:pic>
    <xdr:clientData/>
  </xdr:twoCellAnchor>
  <xdr:twoCellAnchor editAs="oneCell">
    <xdr:from>
      <xdr:col>14</xdr:col>
      <xdr:colOff>1155700</xdr:colOff>
      <xdr:row>27</xdr:row>
      <xdr:rowOff>114300</xdr:rowOff>
    </xdr:from>
    <xdr:to>
      <xdr:col>22</xdr:col>
      <xdr:colOff>152400</xdr:colOff>
      <xdr:row>48</xdr:row>
      <xdr:rowOff>150326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FCCD8A6-9050-C148-C218-D00821C60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481300" y="5600700"/>
          <a:ext cx="7772400" cy="4303226"/>
        </a:xfrm>
        <a:prstGeom prst="rect">
          <a:avLst/>
        </a:prstGeom>
      </xdr:spPr>
    </xdr:pic>
    <xdr:clientData/>
  </xdr:twoCellAnchor>
  <xdr:twoCellAnchor editAs="oneCell">
    <xdr:from>
      <xdr:col>5</xdr:col>
      <xdr:colOff>551360</xdr:colOff>
      <xdr:row>32</xdr:row>
      <xdr:rowOff>121960</xdr:rowOff>
    </xdr:from>
    <xdr:to>
      <xdr:col>6</xdr:col>
      <xdr:colOff>169820</xdr:colOff>
      <xdr:row>33</xdr:row>
      <xdr:rowOff>177960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">
          <xdr14:nvContentPartPr>
            <xdr14:cNvPr id="13" name="Ink 12">
              <a:extLst>
                <a:ext uri="{FF2B5EF4-FFF2-40B4-BE49-F238E27FC236}">
                  <a16:creationId xmlns:a16="http://schemas.microsoft.com/office/drawing/2014/main" id="{7A3A1906-27C6-A96D-AB9A-EC2014817A07}"/>
                </a:ext>
              </a:extLst>
            </xdr14:cNvPr>
            <xdr14:cNvContentPartPr/>
          </xdr14:nvContentPartPr>
          <xdr14:nvPr macro=""/>
          <xdr14:xfrm>
            <a:off x="5326560" y="6624360"/>
            <a:ext cx="799560" cy="259200"/>
          </xdr14:xfrm>
        </xdr:contentPart>
      </mc:Choice>
      <mc:Fallback xmlns="">
        <xdr:pic>
          <xdr:nvPicPr>
            <xdr:cNvPr id="13" name="Ink 12">
              <a:extLst>
                <a:ext uri="{FF2B5EF4-FFF2-40B4-BE49-F238E27FC236}">
                  <a16:creationId xmlns:a16="http://schemas.microsoft.com/office/drawing/2014/main" id="{7A3A1906-27C6-A96D-AB9A-EC2014817A07}"/>
                </a:ext>
              </a:extLst>
            </xdr:cNvPr>
            <xdr:cNvPicPr/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5308920" y="6606720"/>
              <a:ext cx="835200" cy="294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274220</xdr:colOff>
      <xdr:row>31</xdr:row>
      <xdr:rowOff>199520</xdr:rowOff>
    </xdr:from>
    <xdr:to>
      <xdr:col>7</xdr:col>
      <xdr:colOff>87860</xdr:colOff>
      <xdr:row>36</xdr:row>
      <xdr:rowOff>75240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0">
          <xdr14:nvContentPartPr>
            <xdr14:cNvPr id="59" name="Ink 58">
              <a:extLst>
                <a:ext uri="{FF2B5EF4-FFF2-40B4-BE49-F238E27FC236}">
                  <a16:creationId xmlns:a16="http://schemas.microsoft.com/office/drawing/2014/main" id="{1255A0AE-518F-52F0-4159-521B169EBF52}"/>
                </a:ext>
              </a:extLst>
            </xdr14:cNvPr>
            <xdr14:cNvContentPartPr/>
          </xdr14:nvContentPartPr>
          <xdr14:nvPr macro=""/>
          <xdr14:xfrm>
            <a:off x="6230520" y="6498720"/>
            <a:ext cx="1490040" cy="891720"/>
          </xdr14:xfrm>
        </xdr:contentPart>
      </mc:Choice>
      <mc:Fallback xmlns="">
        <xdr:pic>
          <xdr:nvPicPr>
            <xdr:cNvPr id="59" name="Ink 58">
              <a:extLst>
                <a:ext uri="{FF2B5EF4-FFF2-40B4-BE49-F238E27FC236}">
                  <a16:creationId xmlns:a16="http://schemas.microsoft.com/office/drawing/2014/main" id="{1255A0AE-518F-52F0-4159-521B169EBF52}"/>
                </a:ext>
              </a:extLst>
            </xdr:cNvPr>
            <xdr:cNvPicPr/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>
              <a:off x="6212884" y="6480720"/>
              <a:ext cx="1525671" cy="9273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1026980</xdr:colOff>
      <xdr:row>37</xdr:row>
      <xdr:rowOff>7760</xdr:rowOff>
    </xdr:from>
    <xdr:to>
      <xdr:col>6</xdr:col>
      <xdr:colOff>1316060</xdr:colOff>
      <xdr:row>38</xdr:row>
      <xdr:rowOff>108760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2">
          <xdr14:nvContentPartPr>
            <xdr14:cNvPr id="66" name="Ink 65">
              <a:extLst>
                <a:ext uri="{FF2B5EF4-FFF2-40B4-BE49-F238E27FC236}">
                  <a16:creationId xmlns:a16="http://schemas.microsoft.com/office/drawing/2014/main" id="{5DC9DC31-64AA-E64B-B90A-919BF8B61FB1}"/>
                </a:ext>
              </a:extLst>
            </xdr14:cNvPr>
            <xdr14:cNvContentPartPr/>
          </xdr14:nvContentPartPr>
          <xdr14:nvPr macro=""/>
          <xdr14:xfrm>
            <a:off x="6983280" y="7526160"/>
            <a:ext cx="289080" cy="304200"/>
          </xdr14:xfrm>
        </xdr:contentPart>
      </mc:Choice>
      <mc:Fallback xmlns="">
        <xdr:pic>
          <xdr:nvPicPr>
            <xdr:cNvPr id="66" name="Ink 65">
              <a:extLst>
                <a:ext uri="{FF2B5EF4-FFF2-40B4-BE49-F238E27FC236}">
                  <a16:creationId xmlns:a16="http://schemas.microsoft.com/office/drawing/2014/main" id="{5DC9DC31-64AA-E64B-B90A-919BF8B61FB1}"/>
                </a:ext>
              </a:extLst>
            </xdr:cNvPr>
            <xdr:cNvPicPr/>
          </xdr:nvPicPr>
          <xdr:blipFill>
            <a:blip xmlns:r="http://schemas.openxmlformats.org/officeDocument/2006/relationships" r:embed="rId13"/>
            <a:stretch>
              <a:fillRect/>
            </a:stretch>
          </xdr:blipFill>
          <xdr:spPr>
            <a:xfrm>
              <a:off x="6965618" y="7508160"/>
              <a:ext cx="324764" cy="339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993860</xdr:colOff>
      <xdr:row>39</xdr:row>
      <xdr:rowOff>108240</xdr:rowOff>
    </xdr:from>
    <xdr:to>
      <xdr:col>7</xdr:col>
      <xdr:colOff>48260</xdr:colOff>
      <xdr:row>41</xdr:row>
      <xdr:rowOff>125560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4">
          <xdr14:nvContentPartPr>
            <xdr14:cNvPr id="73" name="Ink 72">
              <a:extLst>
                <a:ext uri="{FF2B5EF4-FFF2-40B4-BE49-F238E27FC236}">
                  <a16:creationId xmlns:a16="http://schemas.microsoft.com/office/drawing/2014/main" id="{6027EFDF-C773-A592-03B9-22B8477FA745}"/>
                </a:ext>
              </a:extLst>
            </xdr14:cNvPr>
            <xdr14:cNvContentPartPr/>
          </xdr14:nvContentPartPr>
          <xdr14:nvPr macro=""/>
          <xdr14:xfrm>
            <a:off x="6950160" y="8033040"/>
            <a:ext cx="730800" cy="423720"/>
          </xdr14:xfrm>
        </xdr:contentPart>
      </mc:Choice>
      <mc:Fallback xmlns="">
        <xdr:pic>
          <xdr:nvPicPr>
            <xdr:cNvPr id="73" name="Ink 72">
              <a:extLst>
                <a:ext uri="{FF2B5EF4-FFF2-40B4-BE49-F238E27FC236}">
                  <a16:creationId xmlns:a16="http://schemas.microsoft.com/office/drawing/2014/main" id="{6027EFDF-C773-A592-03B9-22B8477FA745}"/>
                </a:ext>
              </a:extLst>
            </xdr:cNvPr>
            <xdr:cNvPicPr/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6932169" y="8015055"/>
              <a:ext cx="766422" cy="45933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469899</xdr:colOff>
      <xdr:row>17</xdr:row>
      <xdr:rowOff>101600</xdr:rowOff>
    </xdr:from>
    <xdr:to>
      <xdr:col>24</xdr:col>
      <xdr:colOff>725268</xdr:colOff>
      <xdr:row>45</xdr:row>
      <xdr:rowOff>12700</xdr:rowOff>
    </xdr:to>
    <xdr:pic>
      <xdr:nvPicPr>
        <xdr:cNvPr id="2" name="Content Placeholder 5">
          <a:extLst>
            <a:ext uri="{FF2B5EF4-FFF2-40B4-BE49-F238E27FC236}">
              <a16:creationId xmlns:a16="http://schemas.microsoft.com/office/drawing/2014/main" id="{F72DFBC4-0384-649D-3B2D-18BA5C648C9B}"/>
            </a:ext>
          </a:extLst>
        </xdr:cNvPr>
        <xdr:cNvPicPr>
          <a:picLocks noGrp="1"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34999" y="3556000"/>
          <a:ext cx="8510369" cy="56007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622300</xdr:colOff>
      <xdr:row>30</xdr:row>
      <xdr:rowOff>76200</xdr:rowOff>
    </xdr:from>
    <xdr:to>
      <xdr:col>21</xdr:col>
      <xdr:colOff>139700</xdr:colOff>
      <xdr:row>47</xdr:row>
      <xdr:rowOff>17795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D41305-32DB-EE50-5BB9-8DCF8EDAD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77300" y="6172200"/>
          <a:ext cx="7772400" cy="339599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279400</xdr:colOff>
      <xdr:row>38</xdr:row>
      <xdr:rowOff>127000</xdr:rowOff>
    </xdr:from>
    <xdr:to>
      <xdr:col>19</xdr:col>
      <xdr:colOff>520700</xdr:colOff>
      <xdr:row>60</xdr:row>
      <xdr:rowOff>20723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543AD2-FFFB-F210-F01F-8126E5A12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34400" y="6629400"/>
          <a:ext cx="7772400" cy="436412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76200</xdr:colOff>
      <xdr:row>38</xdr:row>
      <xdr:rowOff>152400</xdr:rowOff>
    </xdr:from>
    <xdr:to>
      <xdr:col>32</xdr:col>
      <xdr:colOff>419100</xdr:colOff>
      <xdr:row>59</xdr:row>
      <xdr:rowOff>162481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5CAFE1-02E1-8809-6F23-32433F990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86200" y="6654800"/>
          <a:ext cx="7772400" cy="4277281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40</xdr:row>
      <xdr:rowOff>50800</xdr:rowOff>
    </xdr:from>
    <xdr:to>
      <xdr:col>7</xdr:col>
      <xdr:colOff>914400</xdr:colOff>
      <xdr:row>61</xdr:row>
      <xdr:rowOff>151469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4B1250-9DC5-3C37-D19A-E0CE641D4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0900" y="6959600"/>
          <a:ext cx="7772400" cy="4367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609600</xdr:colOff>
      <xdr:row>35</xdr:row>
      <xdr:rowOff>0</xdr:rowOff>
    </xdr:from>
    <xdr:to>
      <xdr:col>23</xdr:col>
      <xdr:colOff>127000</xdr:colOff>
      <xdr:row>48</xdr:row>
      <xdr:rowOff>23222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6FE3EF2-E61C-30C3-3CC8-8A69FBA1F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29800" y="7112000"/>
          <a:ext cx="7772400" cy="2664822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1T00:34:26.779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454 1 24575,'-21'0'0,"8"0"0,-4 0 0,9 0 0,1 0 0,0 0 0,0 0 0,0 0 0,-1 0 0,-2 0 0,-16 2 0,9 2 0,-20 3 0,13 0 0,-5 0 0,8-5 0,5 3 0,5-2 0,1-1 0,3 0 0,1 0 0,3 1 0,-1 2 0,0-1 0,-4 1 0,-1 2 0,-12 3 0,8-2 0,-4 2 0,4-7 0,7 1 0,-7-1 0,8 2 0,-2 0 0,-1-2 0,1-1 0,3 0 0,2 3 0,2 1 0,0 0 0,0 0 0,0-2 0,0 0 0,0 1 0,0 0 0,0 2 0,0 0 0,0 4 0,0 4 0,0 2 0,0-1 0,0-2 0,0-3 0,0 0 0,0-1 0,0 1 0,0 0 0,0 0 0,0 0 0,0 0 0,0-1 0,0 0 0,0-3 0,0 1 0,0 0 0,0 0 0,0-1 0,0 1 0,0 0 0,0 3 0,0-1 0,2-1 0,0-1 0,3-1 0,1 4 0,0 0 0,2 5 0,0 4 0,2 3 0,2 1 0,-1-5 0,-1-5 0,-2-3 0,-2 0 0,-1-1 0,2 1 0,2 0 0,-1-2 0,0-1 0,-3-2 0,0-2 0,0 1 0,-1 0 0,1-1 0,0 1 0,0 0 0,-1 0 0,-1 0 0,0-1 0,-1-1 0,0-1 0,2-1 0,2-1 0,1 0 0,-1 0 0,0 0 0,-1 0 0,0 0 0,-1 0 0,1 0 0,0 0 0,-1 0 0,1 0 0,2 0 0,1 0 0,2 0 0,0 0 0,2 0 0,-2 0 0,2 0 0,-2 0 0,-1 0 0,-1 0 0,-1 0 0,1 0 0,3 0 0,1 0 0,-3 0 0,0 0 0,-2 0 0,2 0 0,-1 0 0,-1 0 0,-1 0 0,-1 0 0,-1-2 0,1 0 0,0-2 0,0-1 0,-1 0 0,1 0 0,0-2 0,0-1 0,0 0 0,0 0 0,1-2 0,-1-2 0,1-2 0,0-1 0,-1 1 0,1-1 0,0-3 0,0-1 0,3 0 0,0 0 0,1 3 0,0-2 0,-4 2 0,2-4 0,0 2 0,1 3 0,-1 4 0,-3 4 0,-5 2 0,-2 3 0,-5-1 0,0 0 0,-4-2 0,-4-1 0,-2-2 0,-8-4 0,7 4 0,-7-1 0,14 5 0,-2 1 0,8 1 0,3 1 0,15 1 0,-3 0 0,12 0 0,-6 0 0,-3 0 0,6-3 0,0 0 0,0-1 0,4-1 0,1-1 0,4 0 0,2-2 0,-2 2 0,-7 1 0,-7-1 0,-1 1 0,-2-1 0,-1 1 0,1-1 0,0 1 0,0-1 0,-2 1 0,-1-1 0,-1 1 0,1 0 0,0 0 0,0 0 0,-3 1 0,0 2 0,0 0 0,0-1 0,0 0 0,-1 1 0,1 2 0,0 0 0,0-2 0,-1-1 0,1 0 0,1 1 0,-1 2 0,0 0 0,0 0 0,-1-1 0,0-2 0,1 1 0,0-1 0,1 2 0,2 1 0,0-1 0,0-2 0,-2 1 0,-2-1 0,3 3 0,1 0 0,0 0 0,0 0 0,-3-2 0,0-1 0,0 1 0,-1-1 0,1 3 0,0 0 0,-2 2 0,-1 0 0,-2 6 0,0 4 0,0 5 0,0 18 0,0-12 0,0 29 0,0-8 0,0 6 0,0-4 0,0-7 0,0-4 0,0-5 0,0-3 0,0-8 0,0-3 0,0-2 0,0-1 0,0-3 0,0 0 0,0-3 0,0-1 0,0-1 0,0-1 0,0 1 0,0 0 0,0 0 0,0-3 0,0 0 0</inkml:trace>
  <inkml:trace contextRef="#ctx0" brushRef="#br0" timeOffset="1324">1699 142 24575,'43'0'0,"-17"0"0,16 0 0,-16 0 0,4 0 0,-3 0 0,8 0 0,-5 0 0,-3 0 0,0 0 0,-13 0 0,9 0 0,-9 0 0,13 0 0,-14 0 0,1 0 0,-5 0 0,-3 0 0,0 0 0,0 0 0,-1 0 0,0 0 0,0 0 0,-2 0 0,-2 0 0</inkml:trace>
  <inkml:trace contextRef="#ctx0" brushRef="#br0" timeOffset="2417">1780 430 24575,'41'0'0,"-9"0"0,29 0 0,-18 0 0,2 0 0,-1 0 0,-9 0 0,-2 0 0,-11 0 0,-7 0 0,0 0 0,-1 0 0,2 0 0,-5 0 0,-2 0 0,-7 0 0,0 0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1T00:34:59.982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762 2 24575,'-23'-2'0,"-3"10"0,-3 3 0,2 6 0,8-8 0,-2 1 0,-2 2 0,5-2 0,-3 3 0,6-4 0,-1 0 0,-3 4 0,5-3 0,-1 1 0,4-4 0,0-1 0,0 0 0,3-1 0,0 0 0,0 0 0,-1 1 0,0 0 0,0-2 0,3 1 0,1-1 0,-2-2 0,2 0 0,1 0 0,2 0 0,1 2 0,1 1 0,-2 0 0,0-1 0,-3 1 0,-3 2 0,3 0 0,-3 4 0,2-5 0,1 0 0,1-2 0,-1-2 0,3 2 0,-3 0 0,1-1 0,1 0 0,2 0 0,-1-1 0,-1 2 0,-4 2 0,-3 1 0,-1 3 0,0-1 0,4-2 0,1-2 0,1-3 0,0 0 0,0 0 0,-2 3 0,-1 0 0,0-2 0,0 0 0,2-2 0,2-1 0,0 0 0,-1 0 0,1 0 0,0 0 0,0 0 0,0 0 0,-1 1 0,1 2 0,-1 1 0,-4 1 0,-2-1 0,-1 1 0,2-3 0,4 1 0,2-3 0,3 0 0,7 0 0,-1 0 0,7 0 0,-4 5 0,0-2 0,1 4 0,-1-3 0,-1 1 0,-1 0 0,1-1 0,1-1 0,0-1 0,0 0 0,-1 2 0,1 1 0,0-1 0,0-1 0,-2-2 0,-2-1 0,1 0 0,0 0 0,-1 1 0,1 2 0,0-1 0,-1 0 0,1-1 0,0-1 0,-1 0 0,3 0 0,0 2 0,2 0 0,1 3 0,0-1 0,1 1 0,0 0 0,0 1 0,0-1 0,0 0 0,0 1 0,-1-1 0,1 1 0,0-3 0,0 0 0,0-1 0,-1 1 0,-1 0 0,-1 0 0,-2-1 0,-2 1 0,1-1 0,0 0 0,0-1 0,-1-1 0,1 0 0,0 0 0,-1 0 0,2 0 0,-1 0 0,2 0 0,0 0 0,1 0 0,1 0 0,-2 0 0,-1 0 0,-1 0 0,1 1 0,2 2 0,0 0 0,-1-1 0,-1-1 0,-1-1 0,0 0 0,-1 0 0,1 0 0,0 0 0,0 0 0,-1 0 0,0 0 0,3 2 0,0 1 0,2 0 0,-1 0 0,-1-1 0,-1 1 0,-1-1 0,0-1 0,-1-1 0,1 0 0,0 0 0,-14 0 0,6 0 0,-10 0 0,7 2 0,-1 0 0,-1 0 0,0 2 0,3-2 0,-2 1 0,2-1 0,0-2 0,-2 2 0,-1 0 0,-2 3 0,-3 1 0,-3 0 0,-1 0 0,1 0 0,0 1 0,1-1 0,-2 0 0,-2 0 0,3 1 0,1 2 0,0 0 0,0-1 0,0 0 0,1 1 0,-1 0 0,0-1 0,-3 1 0,-1 0 0,3 1 0,2-2 0,1 1 0,2-1 0,0 0 0,0 0 0,0 0 0,0 1 0,0-1 0,-2 1 0,1-3 0,-3 2 0,-2 0 0,0 0 0,0 0 0,5-1 0,5-2 0,-1 0 0,0 0 0,-2 0 0,-1 1 0,1 0 0,-1 0 0,1 1 0,0-1 0,2-1 0,2-1 0,2-2 0,1 0 0,1 1 0,7-1 0,-2 0 0,5-2 0,-1 0 0,2 0 0,31 2 0,-13 2 0,40 8 0,-36 0 0,41 15 0,-34-13 0,54 20 0,-51-24 0,8 5 0,0 0 0,-13-3 0,43 11 0,-48-11 0,27 6 0,-29-9 0,11 6 0,-17-5 0,-2 2 0,-6-4 0,3 1 0,-9-5 0,8 2 0,-10-3 0,4 2 0,-3 1 0,5 2 0,1 1 0,6 2 0,0-1 0,10 7 0,-12-6 0,8 5 0,-12-6 0,-1 0 0,-1 0 0,-4-1 0,-1-2 0,-1-3 0,-1-1 0,-1-3 0,1 0 0,0 0 0,0 0 0,-2-2 0,-1-1 0,-2-2 0,0-2 0,0-1 0,0-2 0,0 1 0,0 1 0,0 0 0,0-3 0,0 0 0,0 1 0,0 4 0,0 1 0,0 0 0,0 1 0,0 1 0,0 1 0</inkml:trace>
  <inkml:trace contextRef="#ctx0" brushRef="#br0" timeOffset="1351">1261 194 24575,'0'16'0,"0"0"0,0 10 0,0-3 0,0 4 0,0-3 0,0-10 0,0 11 0,0-8 0,0 8 0,0-12 0,0-2 0,0-3 0,0 17 0,0-8 0,0 20 0,0-17 0,0 3 0,0-4 0,0-5 0,0-2 0,0 2 0,0-7 0,0 8 0,0-9 0,0 5 0,0-6 0,0 2 0,0-2 0,0 1 0,0 1 0,0 5 0,0 2 0,0-1 0,0 1 0,0-3 0,0-2 0,0-2 0,0-1 0,0-1 0,0-1 0,0 1 0,0 0 0,0-1 0,0 1 0,0 0 0,0-3 0,0 0 0</inkml:trace>
  <inkml:trace contextRef="#ctx0" brushRef="#br0" timeOffset="3776">1336 177 24575,'52'18'0,"-15"-9"0,15 16 0,-27-14 0,4 6 0,-13-7 0,-2-1 0,3 0 0,-7-3 0,3 1 0,-6-2 0,1 0 0,1 1 0,0-1 0,-3-3 0,3 4 0,-3-1 0,3 4 0,3 2 0,2 3 0,2 4 0,21 36 0,-9-18 0,14 28 0,-17-30 0,-4-1 0,-3-6 0,-5-8 0,-3-6 0,-4-5 0,-1-4 0,-3 1 0,0-5 0</inkml:trace>
  <inkml:trace contextRef="#ctx0" brushRef="#br0" timeOffset="5597">1640 433 24575,'-24'0'0,"10"0"0,-4 0 0,6 0 0,0 0 0,-1 0 0,3 0 0,-1 0 0,0 0 0,2 0 0,1 0 0,3 0 0,-10 0 0,8 0 0,-14 0 0,11 0 0,-5 0 0,6 0 0,0 0 0,2 0 0,0 0 0,2 0 0,0 0 0,-2 0 0,0 0 0,-1 0 0,2 0 0,-1 2 0,-1 1 0,2 2 0,-1 0 0,2-2 0,0-1 0,-1-2 0,0 2 0,3 0 0,1 2 0,2 0 0,0 1 0,0-1 0,0 0 0,0 0 0,0 1 0,0 0 0,0-3 0,0 0 0</inkml:trace>
  <inkml:trace contextRef="#ctx0" brushRef="#br0" timeOffset="7466">1846 107 24575,'13'13'0,"3"6"0,5 0 0,-1 1 0,-3 1 0,-4-8 0,-4-1 0,0 7 0,-4-9 0,3 7 0,-3-11 0,0-4 0,0 2 0,0 2 0,-1 1 0,-2 1 0,0-3 0,1 0 0,1 0 0,1-1 0,-2 1 0,-1 0 0,-2 0 0,0 0 0,2-3 0,1 1 0,-1-1 0,0 0 0,-2 3 0,0-1 0,2-2 0,0 0 0,2 0 0,0 0 0,0 3 0,3 1 0,-2 0 0,2 3 0,0 0 0,-2 0 0,5 3 0,0-2 0,2 1 0,1-1 0,-3-3 0,-3-2 0,-1-1 0,-1 1 0,-1 0 0,1 0 0,0-1 0,0 1 0,-1 0 0,1-1 0,0 1 0,0 0 0,-3 0 0,0 7 0,-2 5 0,0 4 0,0-2 0,0-5 0,0-3 0,0 2 0,5 3 0,-4-4 0,3 1 0,-4-7 0,0 0 0,0-2 0,0-2 0</inkml:trace>
  <inkml:trace contextRef="#ctx0" brushRef="#br0" timeOffset="9088">2209 132 24575,'52'64'0,"-20"-17"-9831,14 21 8341,-28-34 1490,0-9 1835,28 40-1835,-18-29 0,20 30 0,-31-46 1850,-4 2-1850,-2-8 0,7 9 0,-8-13 6363,8 5-6363,-12-9 1273,1 3-1273,-5-5 0,0-2 0,0 0 0,0 0 0,0 2 0,-2 0 0,0 0 0,0-2 0</inkml:trace>
  <inkml:trace contextRef="#ctx0" brushRef="#br0" timeOffset="10838">1450 2020 24575,'9'18'0,"2"0"0,7-3 0,-5-5 0,-1-1 0,-6-6 0,-1 0 0,2 1 0,-2-1 0,2 3 0,-2-1 0,-1-1 0,-1 1 0,0 0 0,-3 1 0,8 9 0,1 7 0,5 2 0,-1 2 0,10 6 0,-7-10 0,8 7 0,-10-11 0,-3-1 0,0 0 0,1 3 0,-8-15 0,2 3 0,-6-11 0,0-10 0,0-4 0,0-21 0,0 19 0,0-6 0</inkml:trace>
  <inkml:trace contextRef="#ctx0" brushRef="#br0" timeOffset="11213">1723 1860 24575,'0'0'0</inkml:trace>
  <inkml:trace contextRef="#ctx0" brushRef="#br0" timeOffset="12201">1723 1860 24575,'0'23'0,"0"-4"0,0 5 0,0-7 0,0 2 0,0-1 0,0-2 0,0 0 0,0-4 0,0-3 0,0 1 0,0-3 0,0-1 0,0 1 0,0-1 0,0-1 0,0 0 0,0-1 0,0 0 0,0 0 0,0 0 0,0 0 0,0 2 0,0 1 0,0 3 0,0 0 0,0 7 0,0 3 0,0 5 0,0 2 0,3-2 0,0-2 0,0-3 0,0-2 0,-3 5 0,0 0 0,3-2 0,0-3 0,-1-3 0,1 1 0,-3-3 0,0 0 0,0-6 0,0 0 0,0 1 0,0-5 0,0-1 0</inkml:trace>
  <inkml:trace contextRef="#ctx0" brushRef="#br0" timeOffset="14738">2195 1852 24575,'-12'-5'0,"-1"1"0,0 4 0,-2 0 0,0 0 0,2 0 0,3 0 0,4 0 0,2 0 0,1 2 0,1 0 0,2 2 0,0 2 0,0-1 0,0 11 0,-3 7 0,0 11 0,-1 4 0,-2-9 0,1-2 0,-1-9 0,-1 1 0,1-1 0,-1 0 0,1 0 0,2-3 0,0-3 0,2-4 0,-1-3 0,1 0 0,1 0 0,1 0 0,0-1 0,0 1 0,0 1 0,0-1 0,0 1 0,4 1 0,-1-1 0,6 7 0,-4-5 0,1 3 0,-1-6 0,-1-3 0,0-2 0,2 0 0,0 0 0,1 0 0,0 0 0,-1 0 0,-1 0 0,-1 0 0,1 0 0,0 0 0,-1 0 0,1 0 0,0 0 0,0 0 0,-1 0 0,1 0 0,0 0 0,0 0 0,1 0 0,-1-1 0,-1-2 0,-1-1 0,0 0 0,-1 0 0,1-1 0,-3 0 0,0 0 0,2 0 0,0 0 0,1-2 0,-1-1 0,-1 0 0,-1 0 0,0 1 0,0-2 0,1 1 0,2 0 0,-1 1 0,1-1 0,-3-3 0,0 0 0,0-3 0,1-5 0,2-1 0,1-3 0,-1-1 0,-2-5 0,-1-1 0,0 2 0,1 5 0,3 4 0,-1 3 0,0 1 0,-2 3 0,-1 1 0,0 0 0,0 0 0,0 2 0,0 1 0,1 2 0,2 1 0,-1 0 0,1 0 0,-1 2 0,0 1 0,1 0 0,0 0 0,0-4 0,1 3 0,1-1 0,-3 2 0,0-1 0,-2-1 0,0-3 0,0 4 0,0 1 0,-4 6 0,3 3 0,-3 3 0,4 0 0,-4 7 0,-3 3 0,1 1 0,-2 7 0,2-7 0,0-1 0,0-1 0,3-4 0,2 2 0,1 1 0,0 1 0,0-1 0,0-1 0,0-3 0,0 1 0,0-1 0,0 2 0,0-2 0,0-2 0,0-1 0,0 0 0,0 0 0,0-3 0,0 0 0,0-3 0,0 0 0,0 0 0,0 0 0,0-1 0,0 2 0,0-1 0,2 0 0,0-3 0,2-1 0,0-1 0,0 0 0,0 0 0,1 0 0,-1 0 0,0 0 0,1 0 0,0 0 0,4 0 0,8 3 0,7 2 0,5 2 0,-1 1 0,-5-2 0,-3 1 0,-2-1 0,1-2 0,-1-1 0,-1 0 0,-3-1 0,-1 1 0,-3 0 0,1-1 0,0 1 0,-2 0 0,-2 0 0,-1-3 0,-1 0 0,-1 0 0,1 0 0,0 0 0,0 0 0,-1 0 0,1 0 0,-2 0 0,-1 0 0</inkml:trace>
  <inkml:trace contextRef="#ctx0" brushRef="#br0" timeOffset="15692">2555 1322 24575,'0'13'0,"0"-1"0,0 16 0,0-5 0,0 16 0,0-18 0,0-2 0,0 12 0,0-8 0,0 21 0,0-20 0,0 7 0,0 6 0,0 11 0,0 0 0,0-3 0,0-14 0,0-6 0,0-5 0,0 1 0,0-7 0,0-1 0,0-3 0,0-4 0,0-1 0,0-2 0,0-1 0</inkml:trace>
  <inkml:trace contextRef="#ctx0" brushRef="#br0" timeOffset="17746">2823 1560 24575,'0'32'0,"0"3"0,0 0 0,0 0 0,0-8 0,0 1 0,0 7 0,0 11 0,0-19 0,0 8 0,0-29 0,0 0 0,0-1 0,2-2 0,0-2 0,2-1 0,0 0 0,2 0 0,12 0 0,-3 0 0,10 0 0,-10 0 0,-1 0 0,-2 0 0,-2 0 0,2 0 0,1 0 0,-1 0 0,1 0 0,-3 0 0,0 0 0,-2 0 0,-1 0 0,-1 0 0,-1 0 0,-2-1 0,-1-1 0,1-3 0,-1 1 0,0-1 0,0 0 0,-2 1 0,0-1 0,0 1 0,0-1 0,2 0 0,1 0 0,-1 0 0,0 1 0,-1-1 0,-1 0 0,0 0 0,1-1 0,1 1 0,1-5 0,1-3 0,2-3 0,-1 0 0,1 0 0,-4 1 0,1 0 0,0 0 0,1 3 0,1 1 0,-1-2 0,-1-2 0,-2-1 0,-1 4 0,0 3 0,2 2 0,0-1 0,1 0 0,0 0 0,-3 3 0,0 0 0,0 1 0,0 1 0,0 11 0,0-4 0,0 8 0,0-5 0,0-1 0,0 6 0,0-6 0,0 7 0,0-8 0,0 3 0,0-3 0,0 2 0,0 0 0,0-1 0,0-1 0,0 0 0,0 4 0,0 2 0,0 3 0,0 1 0,0-1 0,0 1 0,0 0 0,0 0 0,0-1 0,0 1 0,0-2 0,0-2 0,0-2 0,0-1 0,0 0 0,0 0 0,0-3 0,0 0 0,0 0 0,0 0 0,0 0 0,0 2 0,0-1 0,0 0 0,0 0 0,0-2 0,0 0 0,0 0 0,0 1 0,0 0 0,0 2 0,0 1 0,0 2 0,0 1 0,0 0 0,0 0 0,0 0 0,0 2 0,0-1 0,0 1 0,0 0 0,0 0 0,0-1 0,0-3 0,0-3 0,0-1 0,0 0 0,0 0 0,0-3 0,0 0 0</inkml:trace>
  <inkml:trace contextRef="#ctx0" brushRef="#br0" timeOffset="19563">3348 1678 24575,'0'-28'0,"0"7"0,0-9 0,0 7 0,0 0 0,0-9 0,0 4 0,0-5 0,0 12 0,0 3 0,0 2 0,0-7 0,0 6 0,0-4 0,0 11 0,0 1 0,0 2 0,-3 1 0,-7 2 0,-5 1 0,-6-1 0,-4 1 0,1 0 0,3 0 0,4 3 0,6 0 0,2 0 0,1 0 0,1 0 0,-1 0 0,-2 0 0,-1 0 0,1 0 0,3 0 0,1 0 0,1 0 0,0 0 0,0 0 0,2 2 0,1 1 0,-1 1 0,1 0 0,-1 3 0,1 2 0,0 0 0,-1 3 0,-3-1 0,0 4 0,1 0 0,1-2 0,1-3 0,-1-3 0,1 1 0,0 2 0,1-1 0,1-1 0,1-4 0,0 1 0,0 0 0,0 0 0,0 1 0,4 0 0,2 0 0,4 2 0,1 0 0,7 5 0,7 4 0,1 1 0,6 8 0,2 2 0,6 4 0,1 2 0,-7-6 0,-11-5 0,-8-8 0,0-2 0,0-1 0,0 0 0,0-1 0,-3 0 0,-2 0 0,1 0 0,0 0 0,0 0 0,0 0 0,3 0 0,1 1 0,3 0 0,0 0 0,0 0 0,0 1 0,2 3 0,0 0 0,-2-1 0,-3-3 0,-1-3 0,5 2 0,1-1 0,3 1 0,1-2 0,1-2 0,-2-1 0,-3-3 0,-6-3 0,-4 0 0,1 0 0,5 0 0,-4 0 0,6-4 0,-3-2 0,5-9 0,-4 3 0,0-1 0,-7 5 0,8-7 0,-7 5 0,11-12 0,-14 15 0,3-6 0,-10 6 0,0-2 0,0 2 0,0 1 0,0 2 0,0 1 0,0 1 0</inkml:trace>
  <inkml:trace contextRef="#ctx0" brushRef="#br0" timeOffset="21317">3638 910 24575,'0'14'0,"-3"1"0,-3 2 0,-10 8 0,4-4 0,-3 6 0,6-6 0,4-7 0,0 0 0,0-2 0,1-3 0,-4 9 0,5-9 0,0 1 0,3-4 0,2 1 0,3 1 0,3 0 0,3-2 0,0-1 0,-2 1 0,-1-1 0,-2-1 0,-2 1 0,1 0 0,0-1 0,-1 0 0,1-2 0,0-1 0,0-1 0,-1 1 0,1 2 0,2-1 0,1 0 0,2-1 0,1-1 0,3 0 0,1 0 0,7 0 0,1 0 0,1 2 0,4 3 0,-3 2 0,11 2 0,-3-1 0,-2-3 0,-6-1 0,-11-1 0,1 0 0,0 0 0,0-2 0,-1-1 0,-3 1 0,-4 1 0,-1 1 0,-1-1 0,0-1 0,-1-1 0,1 0 0,0 0 0,0 0 0,-1 0 0,1 0 0,0 0 0,0 0 0,-1 0 0,1 0 0,-1 0 0,1 0 0,0 0 0,0 0 0,-1 2 0,-1 0 0,-2 1 0,-1 2 0,-2 3 0,-2 0 0,-1 2 0,-5-1 0,1 0 0,0 0 0,-3 3 0,2-1 0,0 1 0,-2 4 0,-2 0 0,-1 3 0,1 1 0,1-2 0,1-3 0,-3 0 0,0 1 0,1 1 0,2 2 0,-3-2 0,-1-2 0,0 0 0,1 0 0,2 1 0,2-2 0,-1-2 0,1-1 0,2-2 0,2-2 0,-1-1 0,0-1 0,-1 1 0,2-1 0,3-1 0,2 1 0,0-2 0,-1 0 0,1-1 0,-1 0 0,3 0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1T00:35:22.320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10 182 24575,'-5'13'0,"1"1"0,4 5 0,0-4 0,0-1 0,0 4 0,0-8 0,0 4 0,0-11 0,0 0 0</inkml:trace>
  <inkml:trace contextRef="#ctx0" brushRef="#br0" timeOffset="492">1 323 24575,'0'0'0</inkml:trace>
  <inkml:trace contextRef="#ctx0" brushRef="#br0" timeOffset="711">1 323 24575,'0'0'0</inkml:trace>
  <inkml:trace contextRef="#ctx0" brushRef="#br0" timeOffset="1421">1 323 24575,'0'12'0,"0"1"0,0 8 0,0-4 0,0 9 0,0-7 0,0 0 0,0 0 0,0 5 0,0 1 0,0 6 0,0 1 0,0-2 0,0-3 0,0 0 0,0-4 0,0-4 0,0-2 0,0-6 0,0-2 0,0-1 0,0-2 0,0-2 0,0 1 0,0 0 0,0-1 0,0 1 0,0-2 0,0-1 0</inkml:trace>
  <inkml:trace contextRef="#ctx0" brushRef="#br0" timeOffset="3483">271 190 24575,'14'0'0,"-1"0"0,-2 0 0,4 0 0,4 0 0,-2 0 0,-1 0 0,-6 0 0,-2 0 0,2 0 0,0 0 0,-2 8 0,-4-3 0,-2 8 0,-2-1 0,0 3 0,0 2 0,0 13 0,0-5 0,0 13 0,0 2 0,0 13 0,0-9 0,0 2 0,0-19 0,-2 1 0,-2 0 0,-2-3 0,-2 3 0,-2-2 0,-3 5 0,0-2 0,1-6 0,4-7 0,1-7 0,1-2 0,0-1 0,1 0 0,3-1 0,1-1 0,1 1 0,-2-2 0,0-1 0,-1-6 0,1 1 0,4-7 0,1-3 0,0 1 0,2-4 0,0-2 0,1-8 0,1-3 0,0 1 0,-1-3 0,1-6 0,1-6 0,6-26 0,-6 27 0,12-27 0,-13 42 0,12-27 0,-8 31 0,15-19 0,-12 24 0,15-14 0,-19 19 0,15-15 0,-16 17 0,9-11 0,-9 10 0,2 0 0,-3 3 0,-4 5 0,0 1 0,1 1 0,0 1 0,1 1 0,-2 0 0,0 0 0,0 0 0,0-2 0,1-3 0,-1-5 0,4-5 0,0-1 0,1 2 0,-2 7 0,-1 3 0,-1 2 0,-1-1 0,1 1 0,0 1 0,0 1 0,0 4 0,-1 1 0,1 6 0,0 3 0,1 7 0,1 3 0,-3 0 0,1 4 0,-2-3 0,4 6 0,-1 2 0,2 5 0,-1 0 0,-4-5 0,0-3 0,-3-7 0,0 0 0,0 0 0,0-3 0,0-2 0,0 1 0,0-1 0,0 1 0,0 0 0,0-1 0,0 0 0,0-2 0,0-1 0,0-3 0,0-1 0,0-2 0,0-2 0,0 1 0,0 0 0,0 0 0,0 0 0,0-3 0,0-1 0,0 1 0,0 1 0,0-1 0,0 1 0,0-2 0,0 0 0,0 0 0,0-1 0,0-1 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1T00:35:27.112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0 24575,'45'0'0,"6"0"0,17 0 0,8 0-4663,-12 0 1,2 0 4662,0 0 0,5 0 0,-6 0 0,-1 0 0,-1 0 257,25 0 1,1 0-258,-18 0 0,-3 0 0,5 0 0,0 0 0,-3 0 0,-5 0 0,20 0 0,-7 0 0,-16 0 0,-12 0 1444,-10 0-1444,-8 0 0,3 0 0,-14 0 0,0 0 4655,-14 0-4655,-2 0 2227,0 0-2227,-1 0 0,-1 0 0,-1 0 0</inkml:trace>
  <inkml:trace contextRef="#ctx0" brushRef="#br0" timeOffset="1088">777 108 24575,'0'23'0,"0"9"0,0 10-1932,0 14 1932,0 1 0,0 38 0,0-24 0,0 21 0,0-23 0,0-1 0,0-3 0,0-3 0,0-16 488,0 2-488,0-18 351,0 1-351,0-16 0,0-2 0,0-4 0,0-5 0,0-1 0</inkml:trace>
  <inkml:trace contextRef="#ctx0" brushRef="#br0" timeOffset="2928">1128 547 24575,'-18'9'0,"4"-2"0,-4 12 0,9-7 0,-2 1 0,3-5 0,3 1 0,-3 0 0,5 1 0,0 0 0,1-4 0,2-2 0,2 1 0,0-1 0,2-2 0,0 0 0,-2 0 0,0 0 0,2 4 0,-1 2 0,4 1 0,0 4 0,2 2 0,3 3 0,0 1 0,1 0 0,0 0 0,3 0 0,3 5 0,-1-3 0,0 3 0,-4-4 0,0-2 0,-2-3 0,-2-5 0,-4-4 0,-1-2 0,-1 0 0,1-2 0,0-1 0,-1-1 0,1 0 0,0 0 0,0 0 0,-1 0 0,1 0 0,-1 0 0,1-2 0,-1-1 0,2-4 0,-1-1 0,0 0 0,0 0 0,-2 0 0,-1 0 0,0 0 0,2-2 0,1 2 0,0-3 0,-2-2 0,-1 1 0,0 2 0,1 1 0,-1 4 0,-1 0 0,-1 0 0,0 1 0,0-1 0,0 0 0,0 0 0,0 0 0,0 0 0,0 0 0,0 1 0,0-1 0,0 1 0,0-3 0,0-1 0,-2-3 0,-1 0 0,-3-3 0,-2-4 0,-1 2 0,-3-6 0,1 1 0,-1-6 0,2 0 0,1 6 0,2 6 0,2 7 0,0 2 0,0 1 0,0 0 0,1 1 0,-1 0 0,0 2 0,0 1 0,0 1 0,2 2 0,1 0 0,1 2 0,3 5 0,4 3 0,2 1 0,12 17 0,3 9 0,1 2 0,17 21 0,-22-29 0,14 14 0,-14-10 0,-4-10 0,4 5 0,-7-14 0,0-2 0,-1-2 0,-2-2 0,0 1 0,-3-2 0,2 2 0,-1-2 0,2-2 0,-1 0 0,-1-2 0,-2-1 0,-3-2 0,0 0 0,1-2 0,-1-2 0,0 0 0</inkml:trace>
  <inkml:trace contextRef="#ctx0" brushRef="#br0" timeOffset="3111">1571 1065 24575,'0'0'0</inkml:trace>
  <inkml:trace contextRef="#ctx0" brushRef="#br0" timeOffset="5266">1626 236 24575,'0'50'0,"0"-7"0,0 4 0,0-15 0,0-12 0,0-2 0,0 1 0,0 0 0,0-4 0,0 0 0,0 0 0,0 0 0,0 3 0,0 0 0,0 1 0,0 4 0,0-3 0,0 6 0,0 6 0,0 9 0,0 3 0,0-8 0,0-6 0,0-7 0,0 3 0,0 1 0,0-2 0,0-2 0,0-5 0,0-4 0,0-2 0,0-1 0,0-2 0,0-1 0,0-3 0,0 0 0,0 0 0,0 0 0,0-1 0,0 1 0,0 0 0,0 0 0,0-1 0,0-1 0,0-12 0,0-1 0,0-8 0,0-4 0,0 0 0,0-2 0,0 1 0,0 2 0,0-2 0,0-1 0,0 1 0,2 4 0,1 0 0,3 0 0,0 0 0,0 3 0,1-2 0,0 2 0,1-4 0,0 2 0,1 3 0,0 4 0,-2 4 0,-1 2 0,-2 3 0,1 1 0,0 1 0,-1 0 0,1 0 0,0 0 0,0 0 0,0 0 0,-1 0 0,-1 2 0,-1 2 0,-2 3 0,1 1 0,2-1 0,1-1 0,0-1 0,5 0 0,2 0 0,3 0 0,3 0 0,-2-1 0,-1-2 0,1 1 0,0 0 0,0 1 0,7-1 0,-5-3 0,18 0 0,-19 0 0,10 0 0,-20 0 0,2 2 0,-4 0 0,-2 2 0,-2 0 0,0 2 0,0-1 0,0 2 0,0-2 0,0 0 0,0-1 0,0 1 0,0 0 0,0-1 0,-2 3 0,-1 1 0,-1 2 0,-2 1 0,0 6 0,0 3 0,-1 3 0,0 0 0,-2-4 0,0 0 0,-1 0 0,1-1 0,0 1 0,-2 2 0,1-5 0,-1 3 0,0-3 0,0-1 0,0-1 0,4-6 0,4-3 0,1 0 0,0-1 0,-2 0 0,-1-2 0,0-1 0,0-1 0,0 0 0,1 0 0,-1 0 0,0 0 0,0 1 0,1 2 0,-3-1 0,-1 1 0,0-3 0,0 0 0,0 2 0,-3 1 0,-1 0 0,-1 2 0,0-3 0,-2 1 0,-1-1 0,3-2 0,4 0 0,4 0 0,1 0 0,-1 0 0,0 0 0,0 0 0,2-2 0,1 0 0,1-3 0,1 1 0,0-1 0,0-1 0,0-1 0,0 0 0,0 1 0,0 2 0,0-1 0,0 1 0,0-1 0,0 0 0,0-2 0,0-1 0,0 0 0,0 0 0,0 2 0,0 2 0,0-1 0,0 0 0,0 0 0,0 0 0,0 0 0,0 0 0,0 3 0,0-1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0T14:07:39.894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386 0 24575,'0'49'0,"0"-15"0,0 8 0,0-24 0,-3 6 0,-7 20 0,-2-3 0,-7 21 0,7-27 0,-2 5 0,6-9 0,-1-1 0,1-3 0,2-9 0,-2 1 0,-2 1 0,1 3 0,3-1 0,2-6 0,1-5 0,-2 1 0,0 0 0,-1 3 0,0-1 0,0-2 0,-1 0 0,2-3 0,0 0 0,1-3 0,1 0 0,0 0 0,1-1 0,1 0 0,1-1 0,0-1 0,0-1 0</inkml:trace>
  <inkml:trace contextRef="#ctx0" brushRef="#br0" timeOffset="1659">1 165 24575,'16'0'0,"-1"0"0,-2 0 0,3 0 0,7 0 0,-2 0 0,5 0 0,-3 2 0,-3 1 0,3 5 0,1 3 0,3 4 0,-4-3 0,7 2 0,-15-9 0,8 6 0,-10-5 0,4 2 0,-4 3 0,6-2 0,-2 2 0,1-1 0,-2-2 0,-4-2 0,-2 0 0,2-1 0,-2 0 0,-1 1 0,-1-1 0,-2 0 0,-1 0 0,0 0 0,-1-1 0,1 1 0,1 0 0,-1-2 0,1 0 0,-1 0 0,0-1 0,-1 0 0,1-2 0,-1 0 0,0 0 0,2 0 0,1 0 0,-1 0 0,0 0 0,-1 0 0,-1 0 0,0 0 0,1 0 0,1 0 0,-1 0 0,2 0 0,0 0 0,0 2 0,0 0 0,-1 2 0,-1 1 0,0-1 0,0 1 0,-1 0 0,1 0 0,0-2 0,0-1 0,-3 0 0,2 1 0,1 1 0,0 0 0,1 0 0,-2 0 0,0-1 0,1-1 0,-1-2 0,1 2 0,-2-1 0,-1 1 0</inkml:trace>
  <inkml:trace contextRef="#ctx0" brushRef="#br0" timeOffset="2900">921 3 24575,'4'-1'0,"12"15"0,2 4 0,3 9 0,7 10 0,-9-9 0,20 15 0,-13-11 0,-3-5 0,-4-2 0,-7-7 0,0-1 0,0-3 0,-3 1 0,0 0 0,0 0 0,-1 0 0,1-5 0,-2-3 0,-1-1 0,0 1 0,-1 1 0,3 5 0,-1-1 0,-1-1 0,1 0 0,-2-4 0,0 2 0,0-2 0,0-1 0,0-1 0,-2-1 0,-1 1 0,0 0 0,1 0 0,-1 0 0,1 0 0,-3 0 0,2 0 0,2-1 0,1 0 0,0 0 0,0 0 0,-3 0 0,0 1 0,1 0 0,0 1 0,2-1 0,0 1 0,-3-1 0,1-1 0,-1-3 0,1 1 0,-1 1 0,-1 0 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0T14:07:44.598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688 1 24575,'-3'4'0,"-12"5"0,-3 7 0,-9 6 0,10-5 0,-8 4 0,-1 2 0,1-1 0,-1 1 0,6-3 0,-4 1 0,1-1 0,4-5 0,1-2 0,7-5 0,2-2 0,1-1 0,2 0 0,1 0 0,0 0 0,1 1 0,1-1 0,-2-1 0,1 1 0,-1-2 0,-1-1 0,1 0 0,3-1 0,0 2 0,0-1 0,0 1 0,-2-1 0,-2 1 0,1 2 0,-5 2 0,-1 0 0,-2 0 0,-1 0 0,3-2 0,2 1 0,1-1 0,2-1 0,1 1 0,-2 0 0,-1 0 0,2 1 0,0-1 0,3-2 0,1-1 0,-1 0 0,1 0 0,2 2 0,0 1 0,-2-1 0,-1 1 0,1 0 0,-1 1 0,0-2 0,-1 1 0,-1 0 0,2-1 0,0 1 0,1-2 0,0 0 0,-3-1 0,0 0 0,0 3 0,1-1 0,1 1 0,-1-1 0,2-1 0,-2-1 0,-1-2 0,2 0 0,1 0 0</inkml:trace>
  <inkml:trace contextRef="#ctx0" brushRef="#br0" timeOffset="1331">1 20 24575,'14'0'0,"-1"0"0,-3 0 0,-1 0 0,3 0 0,1 3 0,-2 1 0,2 2 0,-5-2 0,-1-2 0,-1-1 0,-1 2 0,0-1 0,-1 0 0,3 0 0,2 1 0,2 3 0,7 4 0,6 2 0,2 3 0,-2-1 0,-7-2 0,-6-1 0,0-2 0,0-1 0,0-1 0,0-2 0,-2 0 0,-1 0 0,-3 0 0,0 0 0,0 0 0,1 0 0,-1-3 0,-1 3 0,1-1 0,-2 1 0,1 3 0,1-1 0,2 3 0,1 1 0,1 3 0,-1 1 0,2 4 0,2 4 0,1-3 0,5 7 0,-2-3 0,-1-1 0,1-1 0,-5-8 0,1 1 0,0 0 0,-2 0 0,-2-1 0,1-1 0,-1-3 0,3 2 0,-1-1 0,-1-2 0,-1-2 0,0 1 0,1 1 0,0 0 0,0 0 0,-2-2 0,-2-1 0,1-1 0,-1 0 0,0-1 0,0-2 0,-3-1 0,0-1 0</inkml:trace>
  <inkml:trace contextRef="#ctx0" brushRef="#br0" timeOffset="3639">878 87 24575,'5'-9'0,"-1"2"0,0-4 0,-2 8 0,4-2 0,-3 3 0,0-2 0,-3-1 0,5 0 0,3 3 0,0 1 0,1 1 0,-5 0 0,1 0 0,-1 0 0,0 0 0,3 2 0,0 3 0,1 1 0,-1 1 0,-1 1 0,-1 0 0,1 0 0,-1-1 0,0-1 0,-1-1 0,3 0 0,1 0 0,1 0 0,-2 1 0,-1-2 0,1 2 0,1 0 0,2 1 0,0 0 0,-1 1 0,-2-1 0,-1-2 0,-1-3 0,-1 0 0,1 1 0,0-1 0,0 0 0,-1-1 0,1-1 0,0 0 0,0 0 0,-2 2 0,-1 0 0,-2 3 0,0-1 0,0 0 0,0 0 0,0 0 0,0 1 0,0 0 0,0-1 0,0 1 0,0 0 0,0 0 0,0-1 0,0 1 0,0 1 0,0-1 0,0 2 0,0 0 0,0 0 0,0 1 0,0-3 0,0 0 0,0 0 0,0 0 0,0 0 0,0-1 0,-2-1 0,0-1 0,-3 0 0,0 1 0,0 1 0,-2 1 0,-1-3 0,-1 2 0,1-2 0,2 0 0,1 1 0,0-2 0,0-1 0,-2 1 0,-1 2 0,0 0 0,0 0 0,2-3 0,1 0 0,-2 0 0,-4 0 0,-1 0 0,0 0 0,2 0 0,3 0 0,1 2 0,1 0 0,0 0 0,0 1 0,0-3 0,0 0 0,0 0 0,0 0 0,0 0 0,0 0 0,1 0 0,-3 3 0,1-1 0,-1 1 0,-1-1 0,0-2 0,0 0 0,0 0 0,0 0 0,0 0 0,0 0 0,0 0 0,2 0 0,1 0 0,0 0 0,0 0 0,0 0 0,2 0 0,13 0 0,0 0 0,12 0 0,-9 0 0,16 4 0,1 2 0,4 3 0,-4 0 0,-6 2 0,8 2 0,-2-1 0,2 1 0,-8-4 0,-4-2 0,-1 1 0,-3-1 0,-4-2 0,-3 0 0,-1 1 0,2-3 0,1 0 0,2-2 0,2-1 0,3 0 0,1 0 0,4 2 0,7 2 0,0 0 0,9-1 0,3-3 0,2 0 0,-3 0 0,-8 0 0,-11 0 0,-1 2 0,-3 1 0,-3 0 0,-4 0 0,-2-2 0,-1-1 0,0 0 0,-1 0 0,-1 0 0,0 0 0,-1 0 0,-2 0 0,0 0 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0T14:08:44.474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0 592 24575,'0'31'0,"0"-6"0,0 14 0,0-5 0,0 2 0,0 20 0,0-16 0,0 14 0,0-23 0,0 2 0,0-5 0,0-3 0,0-2 0,0-5 0,0 1 0,0-2 0,2 0 0,1-5 0,0-2 0,-1-3 0,-2-1 0,0-1 0,0 0 0,0-1 0,1-1 0,2 0 0,-1-1 0,0 0 0</inkml:trace>
  <inkml:trace contextRef="#ctx0" brushRef="#br0" timeOffset="2317">9 621 24575,'9'-8'0,"4"-2"0,-4 1 0,2-2 0,1 4 0,-6 0 0,3 3 0,-6 1 0,0 1 0,2-3 0,1-1 0,-1 0 0,2 1 0,0 5 0,-1 0 0,-1 0 0,0 0 0,-1 0 0,1 0 0,0 0 0,2 0 0,1 0 0,5 0 0,1 0 0,2 0 0,0 0 0,0 0 0,-2 0 0,-1 0 0,-3 0 0,2 0 0,-2 0 0,2 0 0,-1 0 0,-2 0 0,-2 0 0,1 0 0,3 0 0,0 0 0,5 0 0,-3 0 0,-3 0 0,-1 0 0,-4 0 0,1 0 0,2 0 0,0 0 0,0 0 0,-2 0 0,-2 0 0,0 1 0,-2 2 0,-2 0 0,0 2 0,0-1 0,0 0 0,0 1 0,0 0 0,0 0 0,0 2 0,0-1 0,0 0 0,-1 0 0,-1-2 0,-2 1 0,-1 0 0,0-1 0,0 1 0,-2 0 0,-1 0 0,0-1 0,0-2 0,2 1 0,0-1 0,1 1 0,-2 1 0,0-1 0,-3 1 0,0 1 0,-1-1 0,0 1 0,2-1 0,1-1 0,0-1 0,0 1 0,-3 2 0,1 0 0,0-1 0,3-2 0,-2 1 0,0 1 0,0 2 0,-3-2 0,2 0 0,1-1 0,0 0 0,4-1 0,0-1 0,0-1 0,2 1 0,1 2 0,-1-1 0,1 1 0,-3-3 0,1 0 0,-1 0 0,1 0 0,0 0 0,-1 0 0,1 0 0,-2 0 0,1 0 0,-1 0 0,2 0 0,0 0 0,0 0 0,-1 0 0,-1 2 0,-3 1 0,-3 1 0,-2 3 0,3-1 0,3 2 0,0-4 0,2 0 0,0-1 0,0 0 0,2-1 0,0 0 0,2 1 0,-1-1 0,1 2 0,0-4 0,0 2 0</inkml:trace>
  <inkml:trace contextRef="#ctx0" brushRef="#br0" timeOffset="3934">657 475 24575,'0'25'0,"0"-4"0,0 18 0,0-5 0,0-4 0,0 5 0,0-7 0,0 0 0,0 3 0,0-7 0,0 0 0,0-3 0,0-7 0,0-3 0,0-4 0,0-1 0,0-1 0,0 0 0,0-1 0,0 1 0,0-1 0,0 0 0,0 0 0,0 0 0,0 7 0,0-1 0,0 10 0,0 4 0,0 4 0,0 0 0,0-7 0,0-7 0,0 0 0,0 1 0,0-1 0,0 0 0,0-3 0,0-2 0,0-2 0,0-1 0,0 0 0,0-1 0,0-2 0,0 0 0</inkml:trace>
  <inkml:trace contextRef="#ctx0" brushRef="#br0" timeOffset="5047">978 643 24575,'18'0'0,"10"0"0,1 0 0,-2 0 0,0 0 0,-1 0 0,5 0 0,5 0 0,-9 0 0,-6 0 0,1 0 0,-3 0 0,2 0 0,-3 0 0,-4 0 0,-3 0 0,0 0 0,0 0 0,-2 0 0,-1 0 0,0 0 0,1 0 0,-1 0 0,2 0 0,-3 0 0,1 0 0,-1 0 0,-1 0 0,-1 0 0,-3 0 0,0 0 0</inkml:trace>
  <inkml:trace contextRef="#ctx0" brushRef="#br0" timeOffset="6313">1013 912 24575,'35'0'0,"-10"0"0,5 0 0,-15 0 0,4 0 0,1 0 0,20 0 0,-5 0 0,5 0 0,-14 0 0,-6 0 0,-4 0 0,-2 0 0,-1 0 0,-2 0 0,0 0 0,-1 0 0,-1 0 0,-1 0 0,-2 0 0,-1 0 0,0 0 0,0 0 0,0 0 0,2 0 0,0 0 0,1 0 0,-1 0 0,-4 0 0,-3 0 0</inkml:trace>
  <inkml:trace contextRef="#ctx0" brushRef="#br0" timeOffset="8709">2090 71 24575,'0'20'0,"0"0"0,0-2 0,0 17 0,0-12 0,0 18 0,0-15 0,0 9 0,0-1 0,0-3 0,0-6 0,0-11 0,0-3 0,0-3 0,0-1 0,0 1 0,0 1 0,0-2 0,0-1 0,0-2 0,0 1 0,0 0 0,0-3 0,0 1 0</inkml:trace>
  <inkml:trace contextRef="#ctx0" brushRef="#br0" timeOffset="11356">2524 200 24575,'6'5'0,"-1"-1"0,1-2 0,-1 1 0,-1-1 0,0 1 0,-1 0 0,-1 1 0,-2 0 0,0 0 0,0 0 0,1-1 0,2-2 0,1 0 0,0-1 0,0 0 0,0 0 0,-2 1 0,0 1 0,0 1 0,0-1 0,3-1 0,0-1 0,0 0 0,1 0 0,-2 0 0,0 0 0,1 0 0,0 0 0,-1 0 0,1 0 0,-1 0 0,0 0 0,0 0 0,0 0 0,0 2 0,-3 0 0,-4 2 0,-2 0 0,-1-2 0,1 0 0,2 0 0,2 1 0,-1-1 0,-1 1 0,-1-3 0,-1 1 0,2 1 0,0 1 0,0-1 0,-1 1 0,-1-1 0,0 1 0,1-2 0,-1 0 0,-1-1 0,1 0 0,-1 0 0,2 0 0,-1 1 0,1 2 0,-3 1 0,-2 2 0,0 0 0,-3 1 0,0 0 0,0-1 0,0 1 0,4-2 0,2-1 0,1-2 0,0 0 0,0 1 0,0-1 0,0 0 0,0 1 0,1-1 0,-2 1 0,0-1 0,1-2 0,-1 0 0,2 0 0,-1 0 0,-1 0 0,1 0 0,-1 0 0,2-1 0,2-1 0,0-3 0,2 1 0,0-2 0,0 2 0,0 0 0,0-1 0,0 0 0,0-2 0,0 0 0,0-3 0,0-1 0,0 2 0,0 1 0,0 2 0,0 1 0,1 0 0,2 0 0,0 1 0,-1-1 0,0 0 0,1 0 0,-1 0 0,0 0 0,-2 0 0,2-1 0,0 1 0,1-1 0,-1 1 0,0 1 0,0-1 0,2 1 0,1-1 0,0 2 0,-1 0 0,-1 0 0,1 1 0,0-2 0,1 0 0,1 2 0,-1 0 0,-3 0 0,2-1 0,1 1 0,1 0 0,1 2 0,-1-2 0,-2 0 0,1-1 0,0 1 0,0-1 0,0 1 0,-1-1 0,1 1 0,-1 2 0,2 0 0,-1 0 0,1 0 0,0 0 0,-1 0 0,-1 0 0,-2 0 0</inkml:trace>
  <inkml:trace contextRef="#ctx0" brushRef="#br0" timeOffset="13522">2768 0 24575,'0'13'0,"0"-1"0,0-3 0,0 6 0,0 2 0,0 5 0,0-1 0,0-5 0,0-1 0,0-7 0,2 0 0,0-3 0,2-1 0,1 1 0,-2 0 0,-1 0 0,1-2 0,-1-1 0,2-1 0,2-1 0,-1 0 0,1 0 0,-2 0 0,0 0 0,0 0 0,1 0 0,0 0 0,-1 0 0,1 0 0,0 0 0,0 0 0,0 0 0,1 0 0,-1 0 0,1 0 0,1 0 0,-1 0 0,2 0 0,-4 0 0,3 0 0,-2 0 0,1 0 0,-1 0 0,0 0 0,0 0 0,1 0 0,2 0 0,1 0 0,-2 0 0,-1-2 0,-2-1 0,4 1 0,0-1 0,0 3 0,0-1 0,-2-2 0,1 1 0,-2-2 0,-2 0 0,-1 0 0,-2 0 0,0-1 0,0 0 0,0 1 0,0-1 0,0 1 0,0-2 0,0 0 0,0-1 0,0 1 0,0 0 0,0 0 0,0 1 0,0 0 0,0 1 0,0-1 0,0 0 0,-2 3 0,0-3 0,-2 3 0,0-1 0,1-1 0,1 2 0,2-3 0,0 1 0,0 0 0,0 0 0,0 13 0,0-3 0,0 12 0,0-8 0,0 1 0,0 13 0,0-9 0,0 10 0,0-16 0,0 0 0,0-3 0,0-1 0,0-1 0,0 1 0,0 0 0,0 0 0,0 1 0,0-1 0,0 1 0,0-1 0,0 0 0,0-1 0,0 1 0,0-1 0,0 0 0,0 1 0,0 2 0,0 3 0,0 2 0,0 7 0,0-1 0,0 1 0,0 0 0,0-5 0,0 4 0,0 0 0,0 1 0,0-1 0,0-1 0,0-3 0,0-1 0,0-2 0,0 0 0,0 0 0,0-3 0,0 1 0,0-4 0,0 2 0,0-1 0,0 0 0,0-2 0,0-2 0</inkml:trace>
  <inkml:trace contextRef="#ctx0" brushRef="#br0" timeOffset="14959">1986 763 24575,'12'0'0,"3"0"0,19 0 0,-6 0 0,18 0 0,-16 0 0,13 0 0,-17 0 0,27 0 0,-28 0 0,13 0 0,-21 0 0,-2 0 0,9 0 0,-8 0 0,14 0 0,-5 0 0,5 0 0,2 0 0,-1 0 0,-4 0 0,-1 0 0,-3 0 0,0 0 0,0 0 0,1 0 0,-1 0 0,-3 0 0,-1 0 0,-3 0 0,2 0 0,-1 0 0,2 0 0,2 0 0,-2 0 0,-3 0 0,0 0 0,-1 0 0,2 0 0,2 0 0,-3 0 0,-1 0 0,0 0 0,0 0 0,3-3 0,1 0 0,0-1 0,3 0 0,-1 1 0,5-1 0,-1-1 0,-1 1 0,-1-1 0,-5-1 0,3-1 0,3 0 0,-1 1 0,0-1 0,1 3 0,-1 1 0,4-1 0,1 0 0,0-2 0,0-1 0,-3 0 0,2-1 0,-7 1 0,3 1 0,-4 1 0,-4 1 0,-1 1 0,-3 0 0,-2 2 0,-1 1 0,-2 0 0,-2 0 0,1 0 0,0 0 0,-2 0 0,-1 0 0</inkml:trace>
  <inkml:trace contextRef="#ctx0" brushRef="#br0" timeOffset="16860">2097 1091 24575,'13'0'0,"0"0"0,-2 0 0,6 0 0,3 0 0,24 0 0,-15 0 0,23 0 0,-33 0 0,7 0 0,-15 0 0,0 2 0,0 1 0,0 4 0,-2-2 0,-2 2 0,-2-2 0,1 0 0,-1-2 0,-1 0 0,-1-1 0,-2 2 0,-1 1 0,0-1 0,0 1 0,0 0 0,0 0 0,0-1 0,0 1 0,0 0 0,0 0 0,0 0 0,0-1 0,0 1 0,-1 1 0,-2-1 0,-1 2 0,-4-1 0,-2 1 0,-1-1 0,1 0 0,-2 1 0,1 1 0,0 0 0,0 0 0,0-1 0,0-2 0,-1 1 0,1-1 0,0 1 0,-1 0 0,2 0 0,1 1 0,-2 1 0,0 0 0,1-1 0,0 0 0,6-3 0,-1 0 0,0-2 0,1-2 0,-1 0 0,0 0 0,-1 0 0,1 0 0,0 0 0,0 0 0,-2 1 0,-1 2 0,-2 0 0,-1 0 0,0-1 0,0 1 0,-3 0 0,-1 0 0,1-1 0,3 1 0,-4-1 0,8 0 0,-7-1 0,7 0 0,1 1 0,0 1 0,1-1 0,2-3 0,1-1 0,1-2 0,1-1 0,0-1 0,0 1 0,0-4 0,0 4 0,2-1 0,0 2 0,2-1 0,1 1 0,-1 1 0,1 0 0,0 3 0,-1 0 0,3-2 0,2-1 0,0 0 0,1 0 0,0 3 0,1 0 0,0 0 0,-1 0 0,-2 0 0,4 0 0,3 0 0,3 0 0,0 0 0,1 0 0,0 0 0,12 0 0,5 0 0,9 3 0,10 3 0,-7 2 0,8 3 0,2 0 0,-1 1 0,-5-1 0,-4-1 0,-10-3 0,-5-1 0,-5-3 0,-9 0 0,-4 0 0,0 0 0,-1-1 0,0 1 0,-3-1 0,-5 1 0,0-1 0,-1-2 0,0 2 0,-3 0 0,-1 2 0,-1 0 0,0-1 0,0-2 0</inkml:trace>
  <inkml:trace contextRef="#ctx0" brushRef="#br0" timeOffset="18755">3091 1130 24575,'-4'-5'0,"-1"1"0,-5 4 0,3 0 0,2 0 0,0 0 0,1 0 0,-1 0 0,0 0 0,0 0 0,-1 0 0,1 0 0,-1 0 0,1 0 0,2-4 0,1-1 0,2-2 0,0-2 0,0 2 0,0 0 0,0 1 0,0 1 0,0 1 0,0-1 0,0 0 0,0 0 0,0 0 0,0 0 0,0 0 0,0 0 0,2 0 0,0 0 0,1 0 0,0-1 0,0 1 0,1-1 0,0 1 0,0 0 0,-2 1 0,-1 1 0,2 0 0,-1 1 0,1 0 0,-1-1 0,0 1 0,3 1 0,-1 1 0,1-2 0,0-1 0,0 1 0,1 0 0,1 1 0,0 1 0,-2 0 0,0 0 0,0 0 0,0 0 0,-1 0 0,1 0 0,0 0 0,0 0 0,0 0 0,-1 0 0,1 0 0,0 0 0,0 0 0,1 0 0,-1 0 0,2 0 0,-1 0 0,0 0 0,0 0 0,-2 0 0,1 0 0,0 0 0,0 0 0,-1 0 0,1 0 0,0 2 0,-2 0 0,-2 2 0,-1 4 0,0-3 0,0 3 0,0-3 0,0-1 0,0 1 0,0-1 0,0 1 0,0 0 0,-1 0 0,-2 0 0,-2-1 0,-2 2 0,-1 0 0,-2-1 0,0-1 0,2-1 0,1 1 0,-1 2 0,-1-3 0,2 0 0,-1 0 0,0-1 0,-1 1 0,2 0 0,-1-2 0,0-1 0,-1 0 0,1 0 0,3 0 0,-1 0 0,1 0 0,-2 2 0,1 0 0,0 1 0,0-1 0,1-2 0,1 2 0,2 0 0,-3 0 0,4 2 0,-3-2 0,1 3 0,1 0 0,0 0 0,-2-1 0,0 0 0,-1-1 0,-2 0 0,3-1 0,-1-1 0,2-1 0,1 0 0</inkml:trace>
  <inkml:trace contextRef="#ctx0" brushRef="#br0" timeOffset="20518">3629 976 24575,'19'0'0,"0"0"0,0 0 0,4 0 0,1 0 0,1 0 0,-3 0 0,-1 0 0,-2 0 0,0 0 0,-1 0 0,1 0 0,-1 0 0,-1 0 0,-3 0 0,1 0 0,0 0 0,-2 0 0,0 0 0,-4 0 0,1 0 0,0 0 0,-3 0 0,-1 0 0,-2 0 0,1 0 0,0 0 0,0 0 0,0 0 0,-1 0 0,2 0 0,-1 0 0,1 0 0,-2 0 0,1 0 0,-1 0 0,-2 2 0,0 1 0,-2 1 0,0 6 0,-1 3 0,-2 3 0,-1 11 0,-1 5 0,0 1 0,1 3 0,1-9 0,2 5 0,1 1 0,0 5 0,0 0 0,-3-2 0,-1-4 0,1-7 0,-2 2 0,2-7 0,-1 4 0,1-6 0,2-2 0,-1-4 0,0-4 0,-1-3 0,1 0 0,0 0 0,-1 0 0,0 0 0,1-1 0,0-1 0,-1 0 0,-2-3 0,3 0 0,0 0 0</inkml:trace>
  <inkml:trace contextRef="#ctx0" brushRef="#br0" timeOffset="21680">3690 1469 24575,'51'0'0,"23"-13"0,7-5-4426,7-11 4426,-39 9 0,-6 1 1357,-14 8-1357,11-1 0,4 0 0,-5 1 0,-6 1 721,-10 0-721,-5 1 0,-2 2 0,1 1 0,-4 2 0,-1 2 2348,-4 2-2348,-2 0 0,-2 0 0,-2 0 0,-2 0 0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0T14:09:07.504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36 1264 24575,'0'22'0,"0"0"0,0 9 0,0-3 0,0-1 0,0-4 0,0-4 0,0-4 0,0-1 0,0-3 0,0-2 0,0-1 0,0-3 0,0 1 0,0-1 0,0 1 0,0-1 0,0-2 0,0-1 0</inkml:trace>
  <inkml:trace contextRef="#ctx0" brushRef="#br0" timeOffset="2484">0 990 24575,'16'-5'0,"-4"1"0,8 4 0,-9 0 0,19 0 0,-21 0 0,14 0 0,-19 0 0,1 0 0,0 0 0,-1 0 0,1 0 0,0 0 0,-1 0 0,1 0 0,-1 0 0,0 2 0,5 5 0,0 1 0,6 9 0,-1 3 0,4 4 0,-4-3 0,3-3 0,-5-3 0,-1-2 0,-2-1 0,-4-4 0,0 0 0,1 0 0,-1 0 0,0-1 0,0-1 0,0 0 0,-3-1 0,1 2 0,-3-1 0,0 0 0,0 0 0,0-1 0,0-1 0,0 1 0,0-1 0,0 0 0,0 1 0,-2-1 0,-1 0 0,0 0 0,0 0 0,0 1 0,-1-2 0,-1-1 0,2 0 0,1 1 0,-1 1 0,1 1 0,-3-2 0,0-1 0,0 0 0,0 2 0,-1 1 0,0-1 0,-2 1 0,0 0 0,1 0 0,1-1 0,2-2 0,-1-1 0,0-1 0,0 0 0,0 0 0,0 0 0,0 0 0,1 0 0,-2 0 0,1 0 0,-1 0 0,2 0 0,1-2 0,1 0 0,2-3 0,0 1 0,0 0 0,0-2 0,0 1 0,0-1 0,0 2 0,-2-1 0,0 1 0,-3-1 0,-1 1 0,0 0 0,-1 0 0,-1 1 0,0 0 0,0 1 0,0 0 0,1-3 0,-2 0 0,-1-1 0,-1 1 0,-1 1 0,1 2 0,3 1 0,-1 0 0,3-1 0,-1-1 0,0 1 0,1-1 0,1 0 0,3-1 0,2 0 0,0 0 0,0 0 0,0-1 0,0-1 0,0-1 0,0 0 0,1 2 0,1 0 0,1 1 0,-1-1 0,1 0 0,-1 0 0,0 0 0,1-1 0,0 1 0,-1-1 0,1-1 0,-2 1 0,-1 1 0,0 0 0,0 1 0,0-1 0,0 0 0,0 0 0,0-2 0,0-1 0,0-1 0,0 1 0,0 2 0,0-1 0,0 1 0,0 0 0,0 0 0,0 1 0,0 0 0,1 0 0,1 3 0,1-2 0,-1 2 0,-1-1 0,2 1 0,1 1 0,0 1 0,-1 0 0,-1 0 0</inkml:trace>
  <inkml:trace contextRef="#ctx0" brushRef="#br0" timeOffset="4183">483 1139 24575,'8'-4'0,"2"0"0,12 4 0,-3 0 0,9 0 0,3 0 0,-8 0 0,10 0 0,-16 0 0,-4 0 0,-4 0 0,-5 0 0,1 0 0,0 0 0,0 0 0,-1 0 0,-1 1 0,-1 2 0,-2 1 0,0 2 0,0-1 0,0 2 0,0 0 0,0 1 0,0-1 0,-3-1 0,-2-1 0,-5 2 0,-1 1 0,0 3 0,0 0 0,-13 12 0,6-5 0,-11 11 0,7-7 0,-4 6 0,1 0 0,-6 7 0,0-2 0,0-4 0,1-2 0,9-7 0,5-2 0,5-4 0,-1-1 0,1-3 0,2-1 0,1-1 0,3-2 0,0-2 0,0 1 0,0 0 0,0-2 0,0-1 0,0-2 0,1-2 0,1 0 0,1-2 0,2-1 0,0 1 0,0-3 0,0 0 0,0 0 0,0 1 0,0 1 0,0 1 0,0-1 0,0 0 0,0 0 0,0 0 0,0 0 0,0 1 0,0-1 0,2 0 0,2 0 0,0 3 0,2-2 0,-1 2 0,-1-1 0,1 1 0,0 0 0,0-1 0,-1 0 0,1 1 0,2 1 0,1 1 0,3 0 0,0 0 0,12 0 0,8 0 0,5 0 0,4 0 0,-6 0 0,1 0 0,4 0 0,-1 0 0,-2 0 0,-4 0 0,2 0 0,-1 0 0,-2 0 0,-3 0 0,-7 0 0,-2 0 0,-3 0 0,1 0 0,-5 0 0,4 0 0,-2 0 0,-2 0 0,-2 0 0,-4 0 0,-1 0 0,0 0 0,-1 0 0,-1 2 0,-1 0 0,-1 0 0,2 0 0,1-2 0,0 0 0,1 0 0,0 0 0,2 0 0,1 0 0,6 0 0,0 0 0,5 3 0,3 0 0,-1 0 0,5 0 0,3-3 0,-2 0 0,-3 0 0,-7 0 0,-6 0 0,-2 0 0,-1 0 0,-3 0 0,0 0 0,0 0 0,0 0 0,-3 0 0,0 0 0</inkml:trace>
  <inkml:trace contextRef="#ctx0" brushRef="#br0" timeOffset="5346">1415 1176 24575,'18'-5'0,"-4"1"0,7 4 0,-6 0 0,5 0 0,3 0 0,-7 0 0,3 0 0,-7 0 0,1 0 0,-2 0 0,-3 0 0,-3 0 0,0 0 0,-1 0 0,1 0 0,0 0 0,0 0 0,0 0 0,-2-2 0,-1-1 0,0 1 0,2-2 0,0 1 0,3 0 0,-3 1 0,6-3 0,3-2 0,5-2 0,0 0 0,1 2 0,4-2 0,-3-1 0,3-1 0,-4 1 0,0 3 0,-1 1 0,-1-1 0,-3 2 0,-3-1 0,-4 1 0,-1 0 0,-1 0 0,0 1 0,-1 2 0,1 2 0,0 0 0,-2 0 0,-1 0 0</inkml:trace>
  <inkml:trace contextRef="#ctx0" brushRef="#br0" timeOffset="6550">1635 1440 24575,'29'0'0,"0"0"0,23 0 0,-21 0 0,15 0 0,10 0 0,-8 0 0,24 0 0,-23 0 0,10 0 0,-22 0 0,2 0 0,-21 0 0,1 0 0,0 0 0,2 0 0,-1 0 0,-5 0 0,-2 0 0,-7 0 0,1 0 0,0 0 0,-3 0 0,-2 0 0</inkml:trace>
  <inkml:trace contextRef="#ctx0" brushRef="#br0" timeOffset="8622">2757 396 24575,'-5'9'0,"1"-2"0,4 4 0,0-5 0,0 3 0,0-2 0,0-1 0,0 0 0,0-2 0,0 0 0,0 1 0,0-1 0,0 1 0,0 0 0,0-1 0,0 1 0,0 2 0,0 1 0,0 3 0,0-1 0,0-1 0,0-2 0,0-1 0,0-2 0,0 1 0,0 0 0,0 0 0,0 0 0,0-1 0,0 1 0,2-2 0,0-1 0,1 0 0,-1 1 0,0 1 0,3 4 0,0 0 0,10 14 0,-5-5 0,13 18 0,-7-12 0,3 3 0,-2-4 0,0-1 0,0 1 0,-3-3 0,-5-7 0,-4-4 0,0-2 0,0-1 0,-1-1 0,1 1 0,0 0 0,0 0 0,-2 0 0,-1-1 0,-2-1 0,0-2 0</inkml:trace>
  <inkml:trace contextRef="#ctx0" brushRef="#br0" timeOffset="10370">3080 372 24575,'10'0'0,"-1"0"0,-1 0 0,-1 0 0,0 0 0,0 0 0,0 0 0,4 0 0,0 0 0,5 0 0,-3 0 0,11 0 0,-7 3 0,5 2 0,-10 4 0,-1 2 0,1-1 0,-2-2 0,0 0 0,-2 0 0,-3 1 0,1-2 0,-1-1 0,0 0 0,0-1 0,2 1 0,-2 1 0,-1 1 0,-2-1 0,-2-1 0,0-1 0,0-1 0,0 0 0,0 1 0,0 1 0,0-2 0,0 2 0,0-2 0,0 1 0,0-1 0,0 1 0,0 0 0,0 0 0,0-1 0,-2 1 0,-1 0 0,-2 0 0,-1 0 0,1 0 0,-2 2 0,0 0 0,0 1 0,-1-1 0,2-1 0,1-2 0,0 1 0,1 0 0,-1-2 0,0-1 0,0-1 0,0-1 0,0 0 0,0 0 0,-3 0 0,-1 0 0,0 0 0,0 0 0,1 0 0,-1 0 0,-5 0 0,-1 0 0,0 0 0,0 0 0,0 0 0,0 0 0,-3-2 0,0-2 0,-2-1 0,2-1 0,-2-1 0,-3-1 0,3 1 0,-4-4 0,6 1 0,2-1 0,4 4 0,4 4 0,2 0 0,2 1 0,-1-2 0,0-1 0,1 0 0,2 0 0,1 0 0,1 1 0,0-1 0,0 1 0,0 0 0,0 0 0,0-1 0,0 1 0,2-1 0,1 1 0,1-1 0,3-2 0,0-1 0,2 0 0,-2 1 0,-1 0 0,-1 3 0,-2-2 0,-1 2 0,-1 1 0,2 1 0,1 2 0</inkml:trace>
  <inkml:trace contextRef="#ctx0" brushRef="#br0" timeOffset="11794">3588 142 24575,'0'8'0,"0"0"0,0-3 0,0-1 0,0 0 0,0 0 0,0 0 0,0 1 0,0 1 0,0-1 0,0 1 0,0-1 0,-3 5 0,1-3 0,-2 6 0,3-7 0,1 0 0,0-2 0,2-2 0,0 0 0,2 0 0,0 0 0,1 2 0,-1 1 0,7-2 0,1-1 0,6 1 0,1 0 0,-9 1 0,-2-2 0</inkml:trace>
  <inkml:trace contextRef="#ctx0" brushRef="#br0" timeOffset="13188">3745 0 24575,'0'19'0,"5"12"0,4-2 0,5 9 0,5-2 0,6 7 0,4 3 0,1-2 0,-1-6 0,-7-8 0,-1 0 0,-3-1 0,0-2 0,-1-3 0,-2-5 0,-2-4 0,-4-2 0,0-2 0,-1 0 0,0 0 0,-2-2 0,-1 0 0,-2-4 0,-1 2 0,-2-1 0,0 0 0,0 0 0,0-1 0,0 0 0,0-1 0,0 0 0,0 1 0,0 0 0,0 0 0,0-1 0,0 1 0,0 3 0,0 2 0,0 2 0,0 4 0,-1-2 0,-2 0 0,0-2 0,0-5 0,1 1 0,-1 0 0,0 0 0,0 0 0,2-2 0,1-2 0,-2 1 0,0 0 0,-3 0 0,-1-1 0,1-1 0,0 0 0,3 0 0,1-1 0,-2 1 0,-1-1 0,-1 0 0,0 1 0,1-1 0,-1-2 0,-1 0 0,1 0 0,-2 0 0,0 0 0,-5 0 0,-2 0 0,-2 1 0,2 2 0,-1 0 0,0 0 0,-3 0 0,0 0 0,-2 2 0,2 1 0,-2 1 0,1-1 0,-4-2 0,-5 0 0,3-1 0,-3 3 0,10 0 0,3-2 0,1 0 0,3-1 0,-1 0 0,1-1 0,2-1 0,1-1 0,2 0 0,2 0 0,0 2 0,2 1 0,0-1 0,-1 0 0,-4-1 0,-5 0 0,-4 2 0,-4 0 0,2 2 0,2-1 0,2-1 0,3-1 0,0 1 0,0 0 0,2-1 0,1 1 0,2-2 0,1-1 0,0 0 0,0 0 0,0 0 0,1 0 0,1 0 0,1 0 0</inkml:trace>
  <inkml:trace contextRef="#ctx0" brushRef="#br0" timeOffset="14296">2804 1536 24575,'56'0'0,"-10"0"0,53 0 0,-35 0-882,33 0 882,-46 0 0,-1 0-3370,33 0 3370,-29 0 0,-3 0 0,2 0-808,12 0 808,-14 0-1049,2 0 1049,0 0-221,-16 0 221,-3 0 0,-6 0 0,-6 0 2332,-4 0-2332,1 0 1902,-1 0-1902,-3 0 1342,-4 0-1342,-5 0 754,-1 0-754,0 0 0,0 0 0,-1 0 0,3 0 0,-3 0 0,2 0 0,-2 0 0,1 0 0,0 0 0,0 0 0,-1 0 0,1 0 0,-1 0 0,1 0 0,1 0 0,-1 0 0,5 0 0,-1-2 0,0 0 0,0-1 0,-4 1 0,0 0 0,-1-1 0,1 0 0,0 1 0,-2-1 0,-1 3 0,-1-2 0</inkml:trace>
  <inkml:trace contextRef="#ctx0" brushRef="#br0" timeOffset="16342">2867 1821 24575,'-2'16'0,"-3"-2"0,-6 1 0,-4 0 0,-8 7 0,7-5 0,-9 5 0,10-10 0,-4 1 0,0-1 0,0 0 0,-2 2 0,5-4 0,-6 1 0,3-3 0,0-1 0,2 0 0,6-1 0,0-1 0,0 0 0,2 1 0,1-1 0,0-2 0,0-1 0,-1-1 0,2-1 0,1 0 0,0 0 0,1 0 0,-1 0 0,2-2 0,1 0 0,1-2 0,2 0 0,0-1 0,0 0 0,0 1 0,2-2 0,0 1 0,2-1 0,1 1 0,-1 3 0,1-1 0,0 1 0,-1-1 0,1-1 0,2-2 0,2 0 0,3-2 0,3 1 0,-1 0 0,-1 2 0,-2 2 0,0 2 0,0 1 0,0-2 0,0-1 0,0 0 0,0 1 0,3 1 0,1 1 0,4 0 0,-1 0 0,1 0 0,4 0 0,-3 0 0,11 0 0,0 0 0,2 0 0,0 2 0,-11 1 0,1 2 0,0 1 0,4 1 0,1 0 0,1 0 0,-2 0 0,2 0 0,-2 0 0,2 0 0,-2 0 0,2 0 0,5 0 0,-4-3 0,6 2 0,-5-3 0,-1 0 0,-2 0 0,-5-3 0,0 0 0,0 0 0,-1 0 0,-3 0 0,-3 0 0,-1 0 0,-2 0 0,-2 0 0,-2 0 0,0 0 0,-1 0 0,2 0 0,-7 0 0,0 0 0</inkml:trace>
  <inkml:trace contextRef="#ctx0" brushRef="#br0" timeOffset="17297">4208 1677 24575,'0'14'0,"0"-5"0,0 15 0,0 8 0,0 4 0,0 12 0,0-12 0,0-9 0,0 3 0,0-13 0,0 9 0,0 1 0,0-2 0,0 0 0,0-8 0,0 5 0,0-4 0,0-3 0,0-4 0,0-6 0,0-1 0,0 3 0,0 1 0,0 2 0,0 0 0,0-4 0,0-1 0</inkml:trace>
  <inkml:trace contextRef="#ctx0" brushRef="#br0" timeOffset="19704">4565 1818 24575,'13'0'0,"4"0"0,-2 0 0,2 0 0,-1 0 0,-6 0 0,-1 0 0,-2 0 0,1 0 0,0 0 0,1 0 0,-2 0 0,-1 0 0,-1 0 0,0 0 0,2 0 0,-2 1 0,-2 2 0,-1 1 0,-2 1 0,0 0 0,0 2 0,0-1 0,0 2 0,0 0 0,0 0 0,0 0 0,0 1 0,0-1 0,0-1 0,0 1 0,0 0 0,0 3 0,0 0 0,-2 1 0,-4 2 0,-3 2 0,-3 4 0,2-4 0,2-3 0,0-3 0,0-2 0,-1 0 0,2 0 0,1-3 0,1 0 0,0 0 0,0 0 0,0 0 0,0-1 0,0 1 0,-1 0 0,1-2 0,-2-1 0,0 0 0,-1 1 0,1-1 0,1 0 0,1-2 0,0 2 0,0 0 0,0 1 0,1-1 0,-1-2 0,0 0 0,0 0 0,-1 0 0,1 0 0,-1 0 0,1 0 0,1 0 0,-1 0 0,1 0 0,-3 0 0,-1 0 0,-3 0 0,2 0 0,1 0 0,2 0 0,2 0 0,-2 0 0,2 0 0,0-2 0,2 0 0,7-2 0,-1 0 0,6-1 0,-2 0 0,2 1 0,1 2 0,3 1 0,1 1 0,8-3 0,4-1 0,-2 0 0,10 1 0,2 3 0,3 0 0,-4 0 0,-6 0 0,-7 0 0,1 0 0,-1 0 0,-5 0 0,-4 0 0,-2 0 0,-1 0 0,1 0 0,-2 0 0,-1 0 0,0 0 0,-4 0 0,2 0 0,0 0 0,1 0 0,-1 0 0,-3 2 0,-1 2 0,-2 0 0,-1 2 0,0-2 0,0 0 0,0 1 0,0-1 0,0 1 0,0 0 0,0 4 0,0 3 0,0 8 0,0 4 0,0 0 0,0-1 0,0-4 0,-2 0 0,-2-1 0,-1-1 0,-1-3 0,2 1 0,2 0 0,-1-2 0,1-2 0,-3-2 0,-1 0 0,0 0 0,-1 0 0,0-2 0,1-1 0,0 0 0,1-2 0,-1 1 0,-2 0 0,-3-1 0,0-1 0,0-1 0,0 1 0,-3 2 0,-1 1 0,-1 0 0,2 0 0,-1 0 0,-3 1 0,2-1 0,-4 2 0,6-1 0,0 0 0,0-1 0,3-4 0,2 0 0,1 1 0,2-1 0,1 1 0,0-3 0,0 0 0,-5 3 0,-2 0 0,-3 2 0,1 1 0,-6 0 0,-4 1 0,-1-3 0,-10 2 0,3-3 0,-1 1 0,-1-1 0,6-3 0,0 0 0,0 0 0,3 0 0,2 0 0,5 0 0,3 0 0,3 0 0,1 0 0,2 0 0,1 0 0,3 0 0,0-2 0,2 0 0,1-2 0,2 0 0,0-1 0,0-1 0,0 1 0,0-1 0,0 1 0,0 1 0,0-1 0,0 0 0,0 0 0,0 1 0,0-3 0,0 2 0,2 1 0,0 2 0,0 2 0,0 0 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0T14:09:30.679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490 229 24575,'-10'0'0,"2"0"0,1 0 0,2 0 0,0 0 0,0 0 0,0 0 0,-1 0 0,1 0 0,-2 0 0,0 0 0,1 0 0,0 0 0,2 0 0,-3 0 0,0 0 0,-3 0 0,-3-1 0,1-2 0,-7-5 0,-11-15 0,5 6 0,-8-8 0,15 13 0,0-3 0,3-1 0,-1 0 0,0 1 0,0 3 0,2 4 0,4-1 0,2 1 0,2-1 0,0 1 0,1 2 0,0 0 0,2 1 0,0 1 0,1 2 0,-3 2 0,1 0 0,-1 0 0,-1 0 0,1 0 0,1 2 0,2 0 0,2 2 0,-1 2 0,-1-1 0,-1 2 0,-2 0 0,2 2 0,0 1 0,-1 1 0,1 0 0,0-2 0,1-1 0,-1 0 0,0 0 0,0 0 0,0-1 0,3-1 0,0-1 0,0-1 0,0 2 0,0-1 0,0 2 0,0-4 0,3-9 0,0 3 0,6-9 0,-3 8 0,2-1 0,-2-2 0,1 2 0,-1 1 0,-1 1 0,0 0 0,0 1 0,0-1 0,-1 2 0,1 1 0,2-1 0,1-2 0,3 0 0,0 0 0,0 0 0,4 0 0,1 0 0,3 1 0,2 1 0,-2 0 0,-3-2 0,-2 0 0,-3 0 0,-2 2 0,-2 1 0,-1 0 0,-1 0 0,0-1 0,-1-2 0,1 0 0,0 1 0,0 2 0,1 0 0,-1 0 0,1 0 0,-1 0 0,1 0 0,2 0 0,1 0 0,2 0 0,3 0 0,1 0 0,3-3 0,0 0 0,2 0 0,-2 0 0,5 2 0,1 1 0,-4 0 0,1 0 0,-9 0 0,1 0 0,-2 0 0,-1 0 0,-3 0 0,-1 0 0,-1 0 0,0 0 0,0 0 0,-1 0 0,1 0 0,0 0 0,0 0 0,-1 0 0,2 0 0,-1 0 0,0 0 0,0 0 0,0 0 0,0 0 0,-2 2 0,-1 0 0,0 2 0,1 1 0,-1 0 0,1 1 0,-3-1 0,0 2 0,0 0 0,0 0 0,0 1 0,0-3 0,0 0 0,0 0 0,0 0 0,0-1 0,0 1 0,-2 0 0,0 0 0,-5 2 0,-1 1 0,-4 3 0,-3 4 0,-2 2 0,-12 12 0,5-7 0,-5 4 0,10-12 0,3-4 0,3-2 0,3 1 0,-2-1 0,1 0 0,-3-1 0,-1-2 0,-7 2 0,-2 0 0,-1-1 0,-4 2 0,4 0 0,-10-2 0,-1-3 0,1-1 0,0-2 0,7 0 0,3 2 0,2 1 0,2 0 0,3 0 0,1-2 0,3-1 0,3 0 0,3 0 0,3 0 0,0 0 0,0 0 0,0 0 0,2-2 0,1 0 0,2-3 0,1 0 0,4-3 0,2-1 0,4-2 0,-3 2 0,-1 2 0,1 3 0,0 1 0,0 1 0,0-1 0,0-1 0,0-2 0,0 3 0,1-1 0,-4 2 0,2-1 0,3 0 0,1 2 0,-1 1 0,-1 0 0,-4 0 0,-1 0 0,1 0 0,2 0 0,1 0 0,2 0 0,1 0 0,7 0 0,2 0 0,4 0 0,4 2 0,-2 1 0,9 7 0,1 3 0,-1-1 0,0 2 0,-8-4 0,1 3 0,0 0 0,3 2 0,2-1 0,1 1 0,-1 0 0,-3-1 0,-3 0 0,2 0 0,-1 0 0,1-2 0,2 0 0,-5-1 0,4 1 0,-5-1 0,-2-2 0,-2-1 0,-6-3 0,-3 1 0,-1 0 0,-2-1 0,-1 0 0,-2 0 0,-2 0 0,1-2 0,0-1 0,0-1 0,0-1 0,-1 0 0,2 1 0,-1 1 0,1 1 0,-2-1 0,1 0 0,0 1 0,0-1 0,-1 0 0,3 1 0,1 0 0,1 0 0,-2-1 0,-1 1 0,-1-1 0,1 1 0,0-1 0,-1-1 0,-1 2 0,-2-1 0,-2 0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6A875C-4E81-994B-99D9-7481766B5507}">
  <dimension ref="A1:P19"/>
  <sheetViews>
    <sheetView workbookViewId="0">
      <selection activeCell="C20" sqref="C20"/>
    </sheetView>
  </sheetViews>
  <sheetFormatPr baseColWidth="10" defaultRowHeight="16"/>
  <cols>
    <col min="1" max="1" width="29.1640625" customWidth="1"/>
    <col min="5" max="5" width="29" customWidth="1"/>
  </cols>
  <sheetData>
    <row r="1" spans="1:16">
      <c r="A1" t="s">
        <v>0</v>
      </c>
      <c r="B1" t="s">
        <v>1</v>
      </c>
      <c r="C1" t="s">
        <v>2</v>
      </c>
      <c r="D1" t="s">
        <v>3</v>
      </c>
    </row>
    <row r="2" spans="1:16">
      <c r="A2">
        <v>120</v>
      </c>
      <c r="B2">
        <v>125</v>
      </c>
      <c r="C2">
        <v>10</v>
      </c>
      <c r="D2">
        <v>4</v>
      </c>
      <c r="G2" t="s">
        <v>9</v>
      </c>
    </row>
    <row r="3" spans="1:16">
      <c r="O3" t="s">
        <v>4</v>
      </c>
      <c r="P3" t="s">
        <v>5</v>
      </c>
    </row>
    <row r="4" spans="1:16">
      <c r="E4" t="s">
        <v>8</v>
      </c>
      <c r="F4" s="15">
        <f>ABS((B2-A2)/(D2/SQRT(C2)))</f>
        <v>3.9528470752104741</v>
      </c>
      <c r="G4" s="1">
        <v>2.2599999999999998</v>
      </c>
      <c r="O4" t="s">
        <v>6</v>
      </c>
      <c r="P4" t="s">
        <v>7</v>
      </c>
    </row>
    <row r="5" spans="1:16">
      <c r="E5" t="s">
        <v>10</v>
      </c>
      <c r="F5" s="1" t="str">
        <f>IF(F4&gt;G4,"Reject","Don't Reject")</f>
        <v>Reject</v>
      </c>
    </row>
    <row r="10" spans="1:16">
      <c r="A10" t="s">
        <v>11</v>
      </c>
      <c r="B10">
        <f>B2-(G4*(D2/SQRT(C2)))</f>
        <v>122.14130099520779</v>
      </c>
    </row>
    <row r="11" spans="1:16">
      <c r="B11">
        <f>B2+(G4*(D2/SQRT(C2)))</f>
        <v>127.85869900479221</v>
      </c>
    </row>
    <row r="19" spans="3:3">
      <c r="C19">
        <f>(125-120)/(4/SQRT(10))</f>
        <v>3.9528470752104741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C3EFF2-768C-DC44-AD4C-70F609B6A03E}">
  <dimension ref="A1:J14"/>
  <sheetViews>
    <sheetView workbookViewId="0">
      <selection activeCell="J3" sqref="J3"/>
    </sheetView>
  </sheetViews>
  <sheetFormatPr baseColWidth="10" defaultRowHeight="16"/>
  <cols>
    <col min="5" max="5" width="23.5" customWidth="1"/>
  </cols>
  <sheetData>
    <row r="1" spans="1:10">
      <c r="A1" t="s">
        <v>85</v>
      </c>
      <c r="B1" t="s">
        <v>200</v>
      </c>
      <c r="C1" t="s">
        <v>83</v>
      </c>
      <c r="D1" t="s">
        <v>201</v>
      </c>
      <c r="E1" t="s">
        <v>202</v>
      </c>
      <c r="F1" t="s">
        <v>203</v>
      </c>
      <c r="G1" t="s">
        <v>2</v>
      </c>
      <c r="H1" t="s">
        <v>204</v>
      </c>
      <c r="I1" t="s">
        <v>205</v>
      </c>
      <c r="J1" t="s">
        <v>193</v>
      </c>
    </row>
    <row r="2" spans="1:10">
      <c r="A2">
        <v>60</v>
      </c>
      <c r="B2">
        <f>RANK(A2,$A$2:$A$8)</f>
        <v>1</v>
      </c>
      <c r="C2">
        <v>70</v>
      </c>
      <c r="D2">
        <f>RANK(C2,$C$2:$C$8)</f>
        <v>2</v>
      </c>
      <c r="E2">
        <f>B2-D2</f>
        <v>-1</v>
      </c>
      <c r="F2">
        <f>E2^2</f>
        <v>1</v>
      </c>
      <c r="G2">
        <f>COUNT(A2:A13)</f>
        <v>7</v>
      </c>
      <c r="H2">
        <f>G2^2</f>
        <v>49</v>
      </c>
      <c r="I2">
        <f>6*F14</f>
        <v>288</v>
      </c>
      <c r="J2">
        <f>1-(I2/(G2*(H2-1)))</f>
        <v>0.1428571428571429</v>
      </c>
    </row>
    <row r="3" spans="1:10">
      <c r="A3">
        <v>34</v>
      </c>
      <c r="B3">
        <f t="shared" ref="B3:B8" si="0">RANK(A3,$A$2:$A$8)</f>
        <v>7</v>
      </c>
      <c r="C3">
        <v>72</v>
      </c>
      <c r="D3">
        <f t="shared" ref="D3:D8" si="1">RANK(C3,$C$2:$C$8)</f>
        <v>1</v>
      </c>
      <c r="E3">
        <f t="shared" ref="E3:E8" si="2">B3-D3</f>
        <v>6</v>
      </c>
      <c r="F3">
        <f t="shared" ref="F3:F8" si="3">E3^2</f>
        <v>36</v>
      </c>
    </row>
    <row r="4" spans="1:10">
      <c r="A4">
        <v>40</v>
      </c>
      <c r="B4">
        <f t="shared" si="0"/>
        <v>4</v>
      </c>
      <c r="C4">
        <v>65</v>
      </c>
      <c r="D4">
        <f t="shared" si="1"/>
        <v>4</v>
      </c>
      <c r="E4">
        <f t="shared" si="2"/>
        <v>0</v>
      </c>
      <c r="F4">
        <f t="shared" si="3"/>
        <v>0</v>
      </c>
    </row>
    <row r="5" spans="1:10">
      <c r="A5">
        <v>54</v>
      </c>
      <c r="B5">
        <f t="shared" si="0"/>
        <v>3</v>
      </c>
      <c r="C5">
        <v>68</v>
      </c>
      <c r="D5">
        <f t="shared" si="1"/>
        <v>3</v>
      </c>
      <c r="E5">
        <f t="shared" si="2"/>
        <v>0</v>
      </c>
      <c r="F5">
        <f t="shared" si="3"/>
        <v>0</v>
      </c>
    </row>
    <row r="6" spans="1:10">
      <c r="A6">
        <v>57</v>
      </c>
      <c r="B6">
        <f t="shared" si="0"/>
        <v>2</v>
      </c>
      <c r="C6">
        <v>64</v>
      </c>
      <c r="D6">
        <f t="shared" si="1"/>
        <v>5</v>
      </c>
      <c r="E6">
        <f t="shared" si="2"/>
        <v>-3</v>
      </c>
      <c r="F6">
        <f t="shared" si="3"/>
        <v>9</v>
      </c>
    </row>
    <row r="7" spans="1:10">
      <c r="A7">
        <v>35</v>
      </c>
      <c r="B7">
        <f t="shared" si="0"/>
        <v>6</v>
      </c>
      <c r="C7">
        <v>34</v>
      </c>
      <c r="D7">
        <f t="shared" si="1"/>
        <v>7</v>
      </c>
      <c r="E7">
        <f t="shared" si="2"/>
        <v>-1</v>
      </c>
      <c r="F7">
        <f t="shared" si="3"/>
        <v>1</v>
      </c>
    </row>
    <row r="8" spans="1:10">
      <c r="A8">
        <v>36</v>
      </c>
      <c r="B8">
        <f t="shared" si="0"/>
        <v>5</v>
      </c>
      <c r="C8">
        <v>42</v>
      </c>
      <c r="D8">
        <f t="shared" si="1"/>
        <v>6</v>
      </c>
      <c r="E8">
        <f t="shared" si="2"/>
        <v>-1</v>
      </c>
      <c r="F8">
        <f t="shared" si="3"/>
        <v>1</v>
      </c>
    </row>
    <row r="14" spans="1:10">
      <c r="F14">
        <f>SUM(F2:F13)</f>
        <v>48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90F00-F350-8E49-B6F5-C245E4F56ADF}">
  <dimension ref="A1:T11"/>
  <sheetViews>
    <sheetView workbookViewId="0">
      <selection activeCell="S2" sqref="S2"/>
    </sheetView>
  </sheetViews>
  <sheetFormatPr baseColWidth="10" defaultRowHeight="16"/>
  <sheetData>
    <row r="1" spans="1:20">
      <c r="A1" t="s">
        <v>85</v>
      </c>
      <c r="B1" t="s">
        <v>207</v>
      </c>
      <c r="C1" t="s">
        <v>86</v>
      </c>
      <c r="D1" t="s">
        <v>206</v>
      </c>
      <c r="E1" t="s">
        <v>208</v>
      </c>
      <c r="F1" t="s">
        <v>203</v>
      </c>
      <c r="G1" t="s">
        <v>2</v>
      </c>
      <c r="H1" t="s">
        <v>204</v>
      </c>
      <c r="I1" t="s">
        <v>209</v>
      </c>
      <c r="J1" t="s">
        <v>210</v>
      </c>
      <c r="K1" t="s">
        <v>211</v>
      </c>
      <c r="L1" t="s">
        <v>212</v>
      </c>
      <c r="M1" t="s">
        <v>213</v>
      </c>
      <c r="N1" t="s">
        <v>213</v>
      </c>
      <c r="O1" t="s">
        <v>213</v>
      </c>
      <c r="P1" t="s">
        <v>214</v>
      </c>
      <c r="Q1" t="s">
        <v>215</v>
      </c>
      <c r="R1" t="s">
        <v>216</v>
      </c>
      <c r="S1" t="s">
        <v>217</v>
      </c>
      <c r="T1" t="s">
        <v>218</v>
      </c>
    </row>
    <row r="2" spans="1:20">
      <c r="A2">
        <v>80</v>
      </c>
      <c r="B2">
        <f>_xlfn.RANK.AVG(A2,$A$2:$A$11)</f>
        <v>1</v>
      </c>
      <c r="C2">
        <v>12</v>
      </c>
      <c r="D2">
        <f>_xlfn.RANK.AVG(C2,$C$2:$C$11)</f>
        <v>8</v>
      </c>
      <c r="E2">
        <f>B2-D2</f>
        <v>-7</v>
      </c>
      <c r="F2">
        <f>E2*E2</f>
        <v>49</v>
      </c>
      <c r="G2">
        <f>COUNT(A2:A10)</f>
        <v>8</v>
      </c>
      <c r="H2">
        <f>G2*G2</f>
        <v>64</v>
      </c>
      <c r="I2">
        <f>G2*(H2-1)</f>
        <v>504</v>
      </c>
      <c r="J2">
        <f>(2*(2^2-1))/12</f>
        <v>0.5</v>
      </c>
      <c r="K2">
        <f>(3*(3^2-1))/12</f>
        <v>2</v>
      </c>
      <c r="P2">
        <f>SUM(J2:O2)</f>
        <v>2.5</v>
      </c>
      <c r="Q2">
        <f>F11+P2</f>
        <v>162</v>
      </c>
      <c r="R2">
        <f>6*Q2</f>
        <v>972</v>
      </c>
      <c r="S2">
        <f>R2/I2</f>
        <v>1.9285714285714286</v>
      </c>
      <c r="T2">
        <f>1-S2</f>
        <v>-0.9285714285714286</v>
      </c>
    </row>
    <row r="3" spans="1:20">
      <c r="A3">
        <v>78</v>
      </c>
      <c r="B3">
        <f t="shared" ref="B3:B9" si="0">_xlfn.RANK.AVG(A3,$A$2:$A$11)</f>
        <v>2</v>
      </c>
      <c r="C3">
        <v>13</v>
      </c>
      <c r="D3">
        <f t="shared" ref="D3:D9" si="1">_xlfn.RANK.AVG(C3,$C$2:$C$11)</f>
        <v>7</v>
      </c>
      <c r="E3">
        <f t="shared" ref="E3:E9" si="2">B3-D3</f>
        <v>-5</v>
      </c>
      <c r="F3">
        <f t="shared" ref="F3:F9" si="3">E3*E3</f>
        <v>25</v>
      </c>
    </row>
    <row r="4" spans="1:20">
      <c r="A4">
        <v>75</v>
      </c>
      <c r="B4">
        <f t="shared" si="0"/>
        <v>3.5</v>
      </c>
      <c r="C4">
        <v>14</v>
      </c>
      <c r="D4">
        <f t="shared" si="1"/>
        <v>5</v>
      </c>
      <c r="E4">
        <f t="shared" si="2"/>
        <v>-1.5</v>
      </c>
      <c r="F4">
        <f t="shared" si="3"/>
        <v>2.25</v>
      </c>
    </row>
    <row r="5" spans="1:20">
      <c r="A5">
        <v>75</v>
      </c>
      <c r="B5">
        <f t="shared" si="0"/>
        <v>3.5</v>
      </c>
      <c r="C5">
        <v>14</v>
      </c>
      <c r="D5">
        <f t="shared" si="1"/>
        <v>5</v>
      </c>
      <c r="E5">
        <f t="shared" si="2"/>
        <v>-1.5</v>
      </c>
      <c r="F5">
        <f t="shared" si="3"/>
        <v>2.25</v>
      </c>
    </row>
    <row r="6" spans="1:20">
      <c r="A6">
        <v>68</v>
      </c>
      <c r="B6">
        <f t="shared" si="0"/>
        <v>5</v>
      </c>
      <c r="C6">
        <v>14</v>
      </c>
      <c r="D6">
        <f t="shared" si="1"/>
        <v>5</v>
      </c>
      <c r="E6">
        <f t="shared" si="2"/>
        <v>0</v>
      </c>
      <c r="F6">
        <f t="shared" si="3"/>
        <v>0</v>
      </c>
    </row>
    <row r="7" spans="1:20">
      <c r="A7">
        <v>67</v>
      </c>
      <c r="B7">
        <f t="shared" si="0"/>
        <v>6</v>
      </c>
      <c r="C7">
        <v>16</v>
      </c>
      <c r="D7">
        <f t="shared" si="1"/>
        <v>2</v>
      </c>
      <c r="E7">
        <f t="shared" si="2"/>
        <v>4</v>
      </c>
      <c r="F7">
        <f t="shared" si="3"/>
        <v>16</v>
      </c>
    </row>
    <row r="8" spans="1:20">
      <c r="A8">
        <v>60</v>
      </c>
      <c r="B8">
        <f t="shared" si="0"/>
        <v>7</v>
      </c>
      <c r="C8">
        <v>15</v>
      </c>
      <c r="D8">
        <f t="shared" si="1"/>
        <v>3</v>
      </c>
      <c r="E8">
        <f t="shared" si="2"/>
        <v>4</v>
      </c>
      <c r="F8">
        <f t="shared" si="3"/>
        <v>16</v>
      </c>
    </row>
    <row r="9" spans="1:20">
      <c r="A9">
        <v>59</v>
      </c>
      <c r="B9">
        <f t="shared" si="0"/>
        <v>8</v>
      </c>
      <c r="C9">
        <v>17</v>
      </c>
      <c r="D9">
        <f t="shared" si="1"/>
        <v>1</v>
      </c>
      <c r="E9">
        <f t="shared" si="2"/>
        <v>7</v>
      </c>
      <c r="F9">
        <f t="shared" si="3"/>
        <v>49</v>
      </c>
    </row>
    <row r="11" spans="1:20">
      <c r="F11">
        <f>SUM(F2:F10)</f>
        <v>159.5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093943-4FF3-F34D-80E7-B724F974CE60}">
  <dimension ref="A1:N17"/>
  <sheetViews>
    <sheetView workbookViewId="0">
      <selection activeCell="F1" sqref="F1"/>
    </sheetView>
  </sheetViews>
  <sheetFormatPr baseColWidth="10" defaultRowHeight="16"/>
  <cols>
    <col min="7" max="7" width="22" customWidth="1"/>
  </cols>
  <sheetData>
    <row r="1" spans="1:14">
      <c r="A1" t="s">
        <v>83</v>
      </c>
      <c r="B1" t="s">
        <v>82</v>
      </c>
      <c r="C1" t="s">
        <v>177</v>
      </c>
      <c r="D1" t="s">
        <v>180</v>
      </c>
      <c r="E1" t="s">
        <v>2</v>
      </c>
      <c r="F1" t="s">
        <v>184</v>
      </c>
      <c r="G1" t="s">
        <v>183</v>
      </c>
      <c r="H1" t="s">
        <v>185</v>
      </c>
      <c r="I1" t="s">
        <v>186</v>
      </c>
      <c r="J1" t="s">
        <v>187</v>
      </c>
      <c r="K1" t="s">
        <v>188</v>
      </c>
      <c r="L1" t="s">
        <v>189</v>
      </c>
      <c r="M1" t="s">
        <v>190</v>
      </c>
      <c r="N1" t="s">
        <v>83</v>
      </c>
    </row>
    <row r="2" spans="1:14">
      <c r="A2">
        <v>8</v>
      </c>
      <c r="B2">
        <v>5</v>
      </c>
      <c r="C2">
        <f>B2^2</f>
        <v>25</v>
      </c>
      <c r="D2">
        <f>A2*B2</f>
        <v>40</v>
      </c>
      <c r="E2">
        <f>COUNT(A2:A14)</f>
        <v>5</v>
      </c>
      <c r="F2">
        <f>E2*D17</f>
        <v>980</v>
      </c>
      <c r="G2">
        <f>A17*B17</f>
        <v>992</v>
      </c>
      <c r="H2">
        <f>E2*C17</f>
        <v>1110</v>
      </c>
      <c r="I2">
        <f>B17^2</f>
        <v>1024</v>
      </c>
      <c r="J2" s="12">
        <f>(F2-G2)/(H2-I2)</f>
        <v>-0.13953488372093023</v>
      </c>
      <c r="K2" s="2">
        <f>J2*B17</f>
        <v>-4.4651162790697674</v>
      </c>
      <c r="L2" s="2">
        <f>(A17-K2)/E2</f>
        <v>7.0930232558139537</v>
      </c>
      <c r="M2">
        <v>20</v>
      </c>
      <c r="N2" s="2">
        <f>L2+(J2*M2)</f>
        <v>4.3023255813953494</v>
      </c>
    </row>
    <row r="3" spans="1:14">
      <c r="A3">
        <v>4</v>
      </c>
      <c r="B3">
        <v>6</v>
      </c>
      <c r="C3">
        <f t="shared" ref="C3:C13" si="0">B3^2</f>
        <v>36</v>
      </c>
      <c r="D3">
        <f t="shared" ref="D3:D13" si="1">A3*B3</f>
        <v>24</v>
      </c>
    </row>
    <row r="4" spans="1:14">
      <c r="A4">
        <v>4</v>
      </c>
      <c r="B4">
        <v>9</v>
      </c>
      <c r="C4">
        <f t="shared" si="0"/>
        <v>81</v>
      </c>
      <c r="D4">
        <f t="shared" si="1"/>
        <v>36</v>
      </c>
    </row>
    <row r="5" spans="1:14">
      <c r="A5">
        <v>9</v>
      </c>
      <c r="B5">
        <v>8</v>
      </c>
      <c r="C5">
        <f t="shared" si="0"/>
        <v>64</v>
      </c>
      <c r="D5">
        <f t="shared" si="1"/>
        <v>72</v>
      </c>
    </row>
    <row r="6" spans="1:14">
      <c r="A6">
        <v>6</v>
      </c>
      <c r="B6">
        <v>4</v>
      </c>
      <c r="C6">
        <f t="shared" si="0"/>
        <v>16</v>
      </c>
      <c r="D6">
        <f t="shared" si="1"/>
        <v>24</v>
      </c>
    </row>
    <row r="17" spans="1:4">
      <c r="A17">
        <f>SUM(A2:A15)</f>
        <v>31</v>
      </c>
      <c r="B17">
        <f>SUM(B2:B15)</f>
        <v>32</v>
      </c>
      <c r="C17">
        <f>SUM(C2:C14)</f>
        <v>222</v>
      </c>
      <c r="D17">
        <f>SUM(D2:D14)</f>
        <v>196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C00270-4089-8E49-91C4-52C59F306CC1}">
  <dimension ref="A1:S53"/>
  <sheetViews>
    <sheetView topLeftCell="A9" workbookViewId="0">
      <selection activeCell="D18" sqref="D18"/>
    </sheetView>
  </sheetViews>
  <sheetFormatPr baseColWidth="10" defaultRowHeight="16"/>
  <cols>
    <col min="12" max="12" width="15.6640625" customWidth="1"/>
  </cols>
  <sheetData>
    <row r="1" spans="1:14">
      <c r="A1" t="s">
        <v>219</v>
      </c>
      <c r="B1" t="s">
        <v>220</v>
      </c>
      <c r="C1" t="s">
        <v>170</v>
      </c>
      <c r="D1" t="s">
        <v>223</v>
      </c>
      <c r="E1" t="s">
        <v>224</v>
      </c>
      <c r="F1" t="s">
        <v>225</v>
      </c>
      <c r="G1" t="s">
        <v>226</v>
      </c>
      <c r="H1" t="s">
        <v>227</v>
      </c>
      <c r="I1" t="s">
        <v>228</v>
      </c>
      <c r="J1" t="s">
        <v>229</v>
      </c>
      <c r="K1" t="s">
        <v>230</v>
      </c>
      <c r="L1" t="s">
        <v>231</v>
      </c>
      <c r="M1" t="s">
        <v>233</v>
      </c>
      <c r="N1" t="s">
        <v>232</v>
      </c>
    </row>
    <row r="2" spans="1:14">
      <c r="A2">
        <v>0</v>
      </c>
      <c r="B2">
        <v>5</v>
      </c>
      <c r="C2">
        <f>COUNT(A2:A13)</f>
        <v>8</v>
      </c>
      <c r="D2">
        <f>A2-$A$15</f>
        <v>-4</v>
      </c>
      <c r="E2">
        <f>B2-$B$15</f>
        <v>-8</v>
      </c>
      <c r="F2">
        <f>D2^2</f>
        <v>16</v>
      </c>
      <c r="G2">
        <f>E2^2</f>
        <v>64</v>
      </c>
      <c r="H2">
        <f>D2*E2</f>
        <v>32</v>
      </c>
      <c r="I2">
        <f>H14/G14</f>
        <v>0.45774647887323944</v>
      </c>
      <c r="J2" s="12">
        <f>H14/F14</f>
        <v>2.1666666666666665</v>
      </c>
      <c r="K2">
        <v>4</v>
      </c>
      <c r="L2">
        <v>4</v>
      </c>
      <c r="M2">
        <f>(J2*(K2-A15)) + B15</f>
        <v>13</v>
      </c>
      <c r="N2">
        <f>(I2*(L2-B15)) + A15</f>
        <v>-0.11971830985915499</v>
      </c>
    </row>
    <row r="3" spans="1:14">
      <c r="A3">
        <v>1</v>
      </c>
      <c r="B3">
        <v>7</v>
      </c>
      <c r="D3">
        <f t="shared" ref="D3:D9" si="0">A3-$A$15</f>
        <v>-3</v>
      </c>
      <c r="E3">
        <f t="shared" ref="E3:E9" si="1">B3-$B$15</f>
        <v>-6</v>
      </c>
      <c r="F3">
        <f t="shared" ref="F3:F9" si="2">D3^2</f>
        <v>9</v>
      </c>
      <c r="G3">
        <f t="shared" ref="G3:G9" si="3">E3^2</f>
        <v>36</v>
      </c>
      <c r="H3">
        <f t="shared" ref="H3:H9" si="4">D3*E3</f>
        <v>18</v>
      </c>
    </row>
    <row r="4" spans="1:14">
      <c r="A4">
        <v>2</v>
      </c>
      <c r="B4">
        <v>8</v>
      </c>
      <c r="D4">
        <f t="shared" si="0"/>
        <v>-2</v>
      </c>
      <c r="E4">
        <f t="shared" si="1"/>
        <v>-5</v>
      </c>
      <c r="F4">
        <f t="shared" si="2"/>
        <v>4</v>
      </c>
      <c r="G4">
        <f t="shared" si="3"/>
        <v>25</v>
      </c>
      <c r="H4">
        <f t="shared" si="4"/>
        <v>10</v>
      </c>
    </row>
    <row r="5" spans="1:14">
      <c r="A5">
        <v>3</v>
      </c>
      <c r="B5">
        <v>10</v>
      </c>
      <c r="D5">
        <f t="shared" si="0"/>
        <v>-1</v>
      </c>
      <c r="E5">
        <f t="shared" si="1"/>
        <v>-3</v>
      </c>
      <c r="F5">
        <f t="shared" si="2"/>
        <v>1</v>
      </c>
      <c r="G5">
        <f t="shared" si="3"/>
        <v>9</v>
      </c>
      <c r="H5">
        <f t="shared" si="4"/>
        <v>3</v>
      </c>
    </row>
    <row r="6" spans="1:14">
      <c r="A6">
        <v>5</v>
      </c>
      <c r="B6">
        <v>15</v>
      </c>
      <c r="D6">
        <f t="shared" si="0"/>
        <v>1</v>
      </c>
      <c r="E6">
        <f t="shared" si="1"/>
        <v>2</v>
      </c>
      <c r="F6">
        <f t="shared" si="2"/>
        <v>1</v>
      </c>
      <c r="G6">
        <f t="shared" si="3"/>
        <v>4</v>
      </c>
      <c r="H6">
        <f t="shared" si="4"/>
        <v>2</v>
      </c>
    </row>
    <row r="7" spans="1:14">
      <c r="A7">
        <v>6</v>
      </c>
      <c r="B7">
        <v>17</v>
      </c>
      <c r="D7">
        <f t="shared" si="0"/>
        <v>2</v>
      </c>
      <c r="E7">
        <f t="shared" si="1"/>
        <v>4</v>
      </c>
      <c r="F7">
        <f t="shared" si="2"/>
        <v>4</v>
      </c>
      <c r="G7">
        <f t="shared" si="3"/>
        <v>16</v>
      </c>
      <c r="H7">
        <f t="shared" si="4"/>
        <v>8</v>
      </c>
    </row>
    <row r="8" spans="1:14">
      <c r="A8">
        <v>7</v>
      </c>
      <c r="B8">
        <v>20</v>
      </c>
      <c r="D8">
        <f t="shared" si="0"/>
        <v>3</v>
      </c>
      <c r="E8">
        <f t="shared" si="1"/>
        <v>7</v>
      </c>
      <c r="F8">
        <f t="shared" si="2"/>
        <v>9</v>
      </c>
      <c r="G8">
        <f t="shared" si="3"/>
        <v>49</v>
      </c>
      <c r="H8">
        <f t="shared" si="4"/>
        <v>21</v>
      </c>
    </row>
    <row r="9" spans="1:14">
      <c r="A9">
        <v>8</v>
      </c>
      <c r="B9">
        <v>22</v>
      </c>
      <c r="D9">
        <f t="shared" si="0"/>
        <v>4</v>
      </c>
      <c r="E9">
        <f t="shared" si="1"/>
        <v>9</v>
      </c>
      <c r="F9">
        <f t="shared" si="2"/>
        <v>16</v>
      </c>
      <c r="G9">
        <f t="shared" si="3"/>
        <v>81</v>
      </c>
      <c r="H9">
        <f t="shared" si="4"/>
        <v>36</v>
      </c>
    </row>
    <row r="14" spans="1:14">
      <c r="A14">
        <f>SUM(A2:A13)</f>
        <v>32</v>
      </c>
      <c r="B14">
        <f>SUM(B2:B13)</f>
        <v>104</v>
      </c>
      <c r="D14">
        <f>SUM(D2:D13)</f>
        <v>0</v>
      </c>
      <c r="E14">
        <f>SUM(E1:E13)</f>
        <v>0</v>
      </c>
      <c r="F14">
        <f>SUM(F2:F13)</f>
        <v>60</v>
      </c>
      <c r="G14">
        <f>SUM(G2:G13)</f>
        <v>284</v>
      </c>
      <c r="H14">
        <f>SUM(H2:H13)</f>
        <v>130</v>
      </c>
    </row>
    <row r="15" spans="1:14">
      <c r="A15">
        <f>AVERAGE(A2:A13)</f>
        <v>4</v>
      </c>
      <c r="B15">
        <f>AVERAGE(B2:B13)</f>
        <v>13</v>
      </c>
    </row>
    <row r="27" spans="15:15" ht="25">
      <c r="O27" s="10"/>
    </row>
    <row r="29" spans="15:15" ht="25">
      <c r="O29" s="10"/>
    </row>
    <row r="31" spans="15:15" ht="30">
      <c r="O31" s="11"/>
    </row>
    <row r="33" spans="15:19" ht="25">
      <c r="O33" s="10"/>
    </row>
    <row r="47" spans="15:19" ht="25">
      <c r="S47" s="10"/>
    </row>
    <row r="49" spans="19:19" ht="25">
      <c r="S49" s="10"/>
    </row>
    <row r="51" spans="19:19" ht="30">
      <c r="S51" s="11" t="s">
        <v>221</v>
      </c>
    </row>
    <row r="53" spans="19:19" ht="25">
      <c r="S53" s="10" t="s">
        <v>222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9C5051-B0E4-E743-8074-B8F04B79324E}">
  <dimension ref="A1:N2"/>
  <sheetViews>
    <sheetView workbookViewId="0">
      <selection activeCell="N3" sqref="N3"/>
    </sheetView>
  </sheetViews>
  <sheetFormatPr baseColWidth="10" defaultRowHeight="16"/>
  <cols>
    <col min="12" max="12" width="12.83203125" bestFit="1" customWidth="1"/>
    <col min="13" max="13" width="34" customWidth="1"/>
  </cols>
  <sheetData>
    <row r="1" spans="1:14">
      <c r="A1" t="s">
        <v>48</v>
      </c>
      <c r="B1" t="s">
        <v>49</v>
      </c>
      <c r="C1" t="s">
        <v>52</v>
      </c>
      <c r="D1" t="s">
        <v>53</v>
      </c>
      <c r="E1" t="s">
        <v>243</v>
      </c>
      <c r="F1" t="s">
        <v>244</v>
      </c>
      <c r="G1" t="s">
        <v>245</v>
      </c>
      <c r="H1" t="s">
        <v>246</v>
      </c>
      <c r="I1" t="s">
        <v>241</v>
      </c>
      <c r="J1" t="s">
        <v>242</v>
      </c>
      <c r="K1" t="s">
        <v>247</v>
      </c>
      <c r="L1" t="s">
        <v>248</v>
      </c>
      <c r="M1" t="s">
        <v>249</v>
      </c>
    </row>
    <row r="2" spans="1:14">
      <c r="A2">
        <v>500</v>
      </c>
      <c r="B2">
        <v>600</v>
      </c>
      <c r="C2">
        <f>400/A2</f>
        <v>0.8</v>
      </c>
      <c r="D2" s="2">
        <f>440/B2</f>
        <v>0.73333333333333328</v>
      </c>
      <c r="E2">
        <f>1-C2</f>
        <v>0.19999999999999996</v>
      </c>
      <c r="F2" s="2">
        <f>1-D2</f>
        <v>0.26666666666666672</v>
      </c>
      <c r="G2" s="2">
        <f>C2*E2</f>
        <v>0.15999999999999998</v>
      </c>
      <c r="H2" s="2">
        <f>D2*F2</f>
        <v>0.19555555555555559</v>
      </c>
      <c r="I2" s="2">
        <f>SQRT(G2/A2)</f>
        <v>1.7888543819998316E-2</v>
      </c>
      <c r="J2" s="2">
        <f>SQRT(H2/B2)</f>
        <v>1.8053418676968802E-2</v>
      </c>
      <c r="K2" s="2">
        <f>C2-D2</f>
        <v>6.6666666666666763E-2</v>
      </c>
      <c r="L2" s="12">
        <f>SQRT((I2^2)+(J2^2))</f>
        <v>2.5415072809770307E-2</v>
      </c>
      <c r="M2">
        <f>K2-(1.6*L2)</f>
        <v>2.6002550171034269E-2</v>
      </c>
      <c r="N2">
        <f>K2+(1.6*L2)</f>
        <v>0.10733078316229926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86CFCB-3786-814E-8022-BCEEC326CF30}">
  <dimension ref="A1:K13"/>
  <sheetViews>
    <sheetView workbookViewId="0">
      <selection activeCell="C22" sqref="C22"/>
    </sheetView>
  </sheetViews>
  <sheetFormatPr baseColWidth="10" defaultRowHeight="16"/>
  <cols>
    <col min="1" max="1" width="18.83203125" customWidth="1"/>
    <col min="4" max="4" width="25.1640625" customWidth="1"/>
  </cols>
  <sheetData>
    <row r="1" spans="1:11">
      <c r="A1" t="s">
        <v>20</v>
      </c>
      <c r="B1" t="s">
        <v>21</v>
      </c>
      <c r="C1" t="s">
        <v>22</v>
      </c>
      <c r="D1" t="s">
        <v>23</v>
      </c>
    </row>
    <row r="2" spans="1:11">
      <c r="A2">
        <v>75</v>
      </c>
      <c r="B2">
        <v>70</v>
      </c>
      <c r="C2">
        <f>(B2-A2)</f>
        <v>-5</v>
      </c>
      <c r="D2" s="2">
        <f t="shared" ref="D2:D10" si="0">(C2-$J$2)^2</f>
        <v>100</v>
      </c>
      <c r="H2" t="s">
        <v>26</v>
      </c>
      <c r="J2" s="2">
        <f>(C13/J10)</f>
        <v>5</v>
      </c>
      <c r="K2" t="s">
        <v>27</v>
      </c>
    </row>
    <row r="3" spans="1:11">
      <c r="A3">
        <v>70</v>
      </c>
      <c r="B3">
        <v>77</v>
      </c>
      <c r="C3">
        <f t="shared" ref="C3:C10" si="1">(B3-A3)</f>
        <v>7</v>
      </c>
      <c r="D3" s="2">
        <f t="shared" si="0"/>
        <v>4</v>
      </c>
      <c r="H3" t="s">
        <v>25</v>
      </c>
      <c r="J3" s="2">
        <f>SQRT(D13/($J$10-1))</f>
        <v>9.2059763197609836</v>
      </c>
      <c r="K3" t="s">
        <v>28</v>
      </c>
    </row>
    <row r="4" spans="1:11">
      <c r="A4">
        <v>46</v>
      </c>
      <c r="B4">
        <v>57</v>
      </c>
      <c r="C4">
        <f t="shared" si="1"/>
        <v>11</v>
      </c>
      <c r="D4" s="2">
        <f t="shared" si="0"/>
        <v>36</v>
      </c>
      <c r="H4" t="s">
        <v>30</v>
      </c>
      <c r="J4">
        <v>0</v>
      </c>
    </row>
    <row r="5" spans="1:11">
      <c r="A5">
        <v>68</v>
      </c>
      <c r="B5">
        <v>60</v>
      </c>
      <c r="C5">
        <f t="shared" si="1"/>
        <v>-8</v>
      </c>
      <c r="D5" s="2">
        <f t="shared" si="0"/>
        <v>169</v>
      </c>
      <c r="H5" t="s">
        <v>18</v>
      </c>
      <c r="J5" s="2">
        <f>(J2-J4)/(J3/SQRT(J10))</f>
        <v>1.6293763397807053</v>
      </c>
      <c r="K5" t="s">
        <v>29</v>
      </c>
    </row>
    <row r="6" spans="1:11">
      <c r="A6">
        <v>68</v>
      </c>
      <c r="B6">
        <v>79</v>
      </c>
      <c r="C6">
        <f t="shared" si="1"/>
        <v>11</v>
      </c>
      <c r="D6" s="2">
        <f t="shared" si="0"/>
        <v>36</v>
      </c>
      <c r="H6" t="s">
        <v>31</v>
      </c>
      <c r="J6" s="3">
        <v>1.833</v>
      </c>
    </row>
    <row r="7" spans="1:11">
      <c r="A7">
        <v>43</v>
      </c>
      <c r="B7">
        <v>64</v>
      </c>
      <c r="C7">
        <f t="shared" si="1"/>
        <v>21</v>
      </c>
      <c r="D7" s="2">
        <f t="shared" si="0"/>
        <v>256</v>
      </c>
      <c r="H7" t="s">
        <v>32</v>
      </c>
    </row>
    <row r="8" spans="1:11">
      <c r="A8">
        <v>55</v>
      </c>
      <c r="B8">
        <v>55</v>
      </c>
      <c r="C8">
        <f t="shared" si="1"/>
        <v>0</v>
      </c>
      <c r="D8" s="2">
        <f t="shared" si="0"/>
        <v>25</v>
      </c>
      <c r="H8" t="s">
        <v>33</v>
      </c>
      <c r="J8" s="3">
        <v>1.833</v>
      </c>
    </row>
    <row r="9" spans="1:11">
      <c r="A9">
        <v>68</v>
      </c>
      <c r="B9">
        <v>77</v>
      </c>
      <c r="C9">
        <f t="shared" si="1"/>
        <v>9</v>
      </c>
      <c r="D9" s="2">
        <f t="shared" si="0"/>
        <v>16</v>
      </c>
      <c r="H9" t="s">
        <v>34</v>
      </c>
      <c r="J9" t="str">
        <f>IF(J5&gt;J8,"Reject","Don't Reject")</f>
        <v>Don't Reject</v>
      </c>
    </row>
    <row r="10" spans="1:11">
      <c r="A10">
        <v>77</v>
      </c>
      <c r="B10">
        <v>76</v>
      </c>
      <c r="C10">
        <f t="shared" si="1"/>
        <v>-1</v>
      </c>
      <c r="D10" s="2">
        <f t="shared" si="0"/>
        <v>36</v>
      </c>
      <c r="H10" t="s">
        <v>37</v>
      </c>
      <c r="J10">
        <f>COUNT((A2:A12))</f>
        <v>9</v>
      </c>
    </row>
    <row r="11" spans="1:11">
      <c r="D11" s="2"/>
      <c r="H11" t="s">
        <v>35</v>
      </c>
      <c r="J11" s="2">
        <f>(J2-(J8*(J3/SQRT(COUNT(A2:A12)))))</f>
        <v>-0.62485153137396132</v>
      </c>
      <c r="K11" t="s">
        <v>36</v>
      </c>
    </row>
    <row r="12" spans="1:11">
      <c r="D12" s="2"/>
      <c r="J12" s="2">
        <f>(J2+(J8*(J3/SQRT(COUNT(A2:A12)))))</f>
        <v>10.624851531373961</v>
      </c>
      <c r="K12" t="s">
        <v>36</v>
      </c>
    </row>
    <row r="13" spans="1:11">
      <c r="A13" t="s">
        <v>24</v>
      </c>
      <c r="C13">
        <f>SUM(C2:C12)</f>
        <v>45</v>
      </c>
      <c r="D13" s="2">
        <f>SUM(D2:D12)</f>
        <v>678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3CBBF7-8BBA-5C44-9D4E-91D4264E7A10}">
  <dimension ref="A1:I10"/>
  <sheetViews>
    <sheetView workbookViewId="0">
      <selection activeCell="H22" sqref="H22"/>
    </sheetView>
  </sheetViews>
  <sheetFormatPr baseColWidth="10" defaultRowHeight="16"/>
  <cols>
    <col min="6" max="6" width="32" customWidth="1"/>
    <col min="7" max="7" width="29.6640625" customWidth="1"/>
  </cols>
  <sheetData>
    <row r="1" spans="1:9">
      <c r="A1" t="s">
        <v>39</v>
      </c>
      <c r="B1" t="s">
        <v>40</v>
      </c>
      <c r="C1" t="s">
        <v>41</v>
      </c>
      <c r="D1" t="s">
        <v>2</v>
      </c>
    </row>
    <row r="2" spans="1:9">
      <c r="A2">
        <v>3.25</v>
      </c>
      <c r="B2">
        <v>3.4</v>
      </c>
      <c r="C2">
        <v>2.61</v>
      </c>
      <c r="D2">
        <v>900</v>
      </c>
    </row>
    <row r="5" spans="1:9">
      <c r="G5" t="s">
        <v>38</v>
      </c>
      <c r="H5">
        <f>(B2-A2)/(C2/SQRT(D2))</f>
        <v>1.7241379310344818</v>
      </c>
    </row>
    <row r="6" spans="1:9">
      <c r="G6" t="s">
        <v>42</v>
      </c>
      <c r="H6">
        <v>1.96</v>
      </c>
      <c r="I6" t="str">
        <f>IF(ABS(H5)&gt;H6,"Reject","Don't Reject")</f>
        <v>Don't Reject</v>
      </c>
    </row>
    <row r="7" spans="1:9">
      <c r="G7" t="s">
        <v>43</v>
      </c>
      <c r="H7">
        <v>2.58</v>
      </c>
      <c r="I7" t="str">
        <f>IF(ABS(H5)&gt;H7,"Reject","Don't Reject")</f>
        <v>Don't Reject</v>
      </c>
    </row>
    <row r="9" spans="1:9">
      <c r="F9" t="s">
        <v>250</v>
      </c>
      <c r="G9" t="s">
        <v>50</v>
      </c>
      <c r="H9" s="2">
        <f>B2-(H6*(C2/SQRT(D2)))</f>
        <v>3.2294800000000001</v>
      </c>
    </row>
    <row r="10" spans="1:9">
      <c r="G10" t="s">
        <v>51</v>
      </c>
      <c r="H10" s="2">
        <f>B2+(H6*(C2/SQRT(D2)))</f>
        <v>3.5705199999999997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D58715-F317-4847-8ECA-EA3BF01E6DF5}">
  <dimension ref="A1:I6"/>
  <sheetViews>
    <sheetView workbookViewId="0">
      <selection activeCell="D2" sqref="D2"/>
    </sheetView>
  </sheetViews>
  <sheetFormatPr baseColWidth="10" defaultRowHeight="16"/>
  <sheetData>
    <row r="1" spans="1:9">
      <c r="A1" t="s">
        <v>55</v>
      </c>
      <c r="B1" t="s">
        <v>56</v>
      </c>
      <c r="C1" t="s">
        <v>57</v>
      </c>
      <c r="D1" t="s">
        <v>58</v>
      </c>
      <c r="E1" t="s">
        <v>2</v>
      </c>
    </row>
    <row r="2" spans="1:9">
      <c r="A2">
        <v>0.5</v>
      </c>
      <c r="B2">
        <f>1-A2</f>
        <v>0.5</v>
      </c>
      <c r="C2">
        <f>A2*B2</f>
        <v>0.25</v>
      </c>
      <c r="D2">
        <f>132/256</f>
        <v>0.515625</v>
      </c>
      <c r="E2">
        <v>256</v>
      </c>
    </row>
    <row r="4" spans="1:9">
      <c r="G4" t="s">
        <v>59</v>
      </c>
      <c r="H4" s="2">
        <f>(D2-A2)/(SQRT(C2/E2))</f>
        <v>0.5</v>
      </c>
    </row>
    <row r="5" spans="1:9">
      <c r="G5" t="s">
        <v>42</v>
      </c>
      <c r="H5">
        <v>1.96</v>
      </c>
      <c r="I5" t="str">
        <f>IF(ABS(H4)&gt;H5,"Reject","Don't Reject")</f>
        <v>Don't Reject</v>
      </c>
    </row>
    <row r="6" spans="1:9">
      <c r="G6" t="s">
        <v>43</v>
      </c>
      <c r="H6">
        <v>2.58</v>
      </c>
      <c r="I6" t="str">
        <f>IF(ABS(H4)&gt;H6,"Reject","Don't Reject")</f>
        <v>Don't Reject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FE8E19-9F61-C746-A58F-290534E4B71B}">
  <dimension ref="A1:I5"/>
  <sheetViews>
    <sheetView workbookViewId="0">
      <selection activeCell="A2" sqref="A2"/>
    </sheetView>
  </sheetViews>
  <sheetFormatPr baseColWidth="10" defaultRowHeight="16"/>
  <cols>
    <col min="7" max="7" width="15.33203125" customWidth="1"/>
  </cols>
  <sheetData>
    <row r="1" spans="1:9">
      <c r="A1" t="s">
        <v>45</v>
      </c>
      <c r="B1" t="s">
        <v>44</v>
      </c>
      <c r="C1" t="s">
        <v>46</v>
      </c>
      <c r="D1" t="s">
        <v>47</v>
      </c>
      <c r="E1" t="s">
        <v>48</v>
      </c>
      <c r="F1" t="s">
        <v>49</v>
      </c>
    </row>
    <row r="2" spans="1:9">
      <c r="A2">
        <v>11</v>
      </c>
      <c r="B2">
        <v>9</v>
      </c>
      <c r="C2">
        <v>1</v>
      </c>
      <c r="D2">
        <v>0.5</v>
      </c>
      <c r="E2">
        <v>50</v>
      </c>
      <c r="F2">
        <v>60</v>
      </c>
    </row>
    <row r="3" spans="1:9">
      <c r="G3" t="s">
        <v>38</v>
      </c>
      <c r="H3">
        <f>(A2-B2)/(SQRT((C2*C2/E2) + (D2*D2/F2)))</f>
        <v>12.865350418053538</v>
      </c>
    </row>
    <row r="4" spans="1:9">
      <c r="G4" t="s">
        <v>42</v>
      </c>
      <c r="H4">
        <v>1.96</v>
      </c>
      <c r="I4" t="str">
        <f>IF(ABS(H3)&gt;H4,"Reject","Don't Reject")</f>
        <v>Reject</v>
      </c>
    </row>
    <row r="5" spans="1:9">
      <c r="G5" t="s">
        <v>43</v>
      </c>
      <c r="H5">
        <v>2.58</v>
      </c>
      <c r="I5" t="str">
        <f>IF(ABS(H3)&gt;H5,"Reject","Don't Reject")</f>
        <v>Reject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1190E-5E42-7943-B088-C5D89A616319}">
  <dimension ref="A1:R9"/>
  <sheetViews>
    <sheetView workbookViewId="0">
      <selection activeCell="E2" sqref="E2"/>
    </sheetView>
  </sheetViews>
  <sheetFormatPr baseColWidth="10" defaultRowHeight="16"/>
  <cols>
    <col min="2" max="2" width="15.6640625" bestFit="1" customWidth="1"/>
  </cols>
  <sheetData>
    <row r="1" spans="1:18">
      <c r="A1" t="s">
        <v>52</v>
      </c>
      <c r="B1" t="s">
        <v>53</v>
      </c>
      <c r="C1" t="s">
        <v>70</v>
      </c>
      <c r="D1" t="s">
        <v>71</v>
      </c>
      <c r="E1" t="s">
        <v>61</v>
      </c>
      <c r="F1" t="s">
        <v>62</v>
      </c>
      <c r="G1" t="s">
        <v>63</v>
      </c>
      <c r="H1" t="s">
        <v>64</v>
      </c>
      <c r="I1" t="s">
        <v>65</v>
      </c>
      <c r="J1" t="s">
        <v>54</v>
      </c>
      <c r="K1" t="s">
        <v>60</v>
      </c>
      <c r="L1" t="s">
        <v>48</v>
      </c>
      <c r="M1" t="s">
        <v>49</v>
      </c>
      <c r="N1" t="s">
        <v>66</v>
      </c>
    </row>
    <row r="2" spans="1:18">
      <c r="A2" s="12">
        <v>0.52500000000000002</v>
      </c>
      <c r="B2" s="12">
        <v>0.434</v>
      </c>
      <c r="C2" s="2">
        <v>500</v>
      </c>
      <c r="D2" s="2">
        <v>320</v>
      </c>
      <c r="E2" s="12">
        <f>(1-A2)</f>
        <v>0.47499999999999998</v>
      </c>
      <c r="F2" s="12">
        <f>(1-B2)</f>
        <v>0.56600000000000006</v>
      </c>
      <c r="G2" s="12">
        <f>((L2*A2+M2*B2)/(L2+M2))</f>
        <v>0.49587482219061169</v>
      </c>
      <c r="H2" s="12">
        <f>1-G2</f>
        <v>0.50412517780938826</v>
      </c>
      <c r="I2" s="12">
        <f>G2*H2</f>
        <v>0.24998298290804091</v>
      </c>
      <c r="J2" s="12">
        <f>A2*E2</f>
        <v>0.24937499999999999</v>
      </c>
      <c r="K2" s="12">
        <f>B2*F2</f>
        <v>0.24564400000000003</v>
      </c>
      <c r="L2" s="2">
        <v>956</v>
      </c>
      <c r="M2" s="2">
        <v>450</v>
      </c>
      <c r="N2" s="14">
        <f>SQRT((J2/L2)+(K2/M2))</f>
        <v>2.8402958754605242E-2</v>
      </c>
    </row>
    <row r="4" spans="1:18">
      <c r="Q4" t="s">
        <v>67</v>
      </c>
      <c r="R4">
        <f>(A2-B2)/SQRT((I2*(1/L2+1/M2)))</f>
        <v>3.1836748893720959</v>
      </c>
    </row>
    <row r="5" spans="1:18">
      <c r="Q5" t="s">
        <v>33</v>
      </c>
      <c r="R5">
        <v>1.645</v>
      </c>
    </row>
    <row r="6" spans="1:18">
      <c r="Q6" t="s">
        <v>68</v>
      </c>
      <c r="R6">
        <f>(A2-B2)-(R5*N2)</f>
        <v>4.4277132848674405E-2</v>
      </c>
    </row>
    <row r="7" spans="1:18">
      <c r="M7" t="s">
        <v>42</v>
      </c>
      <c r="N7">
        <v>1.96</v>
      </c>
      <c r="O7" t="str">
        <f>IF(ABS(R4)&gt;N7,"Reject","Don't Reject")</f>
        <v>Reject</v>
      </c>
      <c r="Q7" t="s">
        <v>69</v>
      </c>
      <c r="R7">
        <f>(A2-B2)+(R5*N2)</f>
        <v>0.13772286715132565</v>
      </c>
    </row>
    <row r="8" spans="1:18">
      <c r="M8" t="s">
        <v>43</v>
      </c>
      <c r="N8">
        <v>2.58</v>
      </c>
      <c r="O8" t="str">
        <f>IF(ABS(R4)&gt;N8,"Reject","Don't Reject")</f>
        <v>Reject</v>
      </c>
    </row>
    <row r="9" spans="1:18">
      <c r="A9" s="14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14BDEE-CB1C-504A-BDB0-9BA537BF959A}">
  <dimension ref="A1:P5"/>
  <sheetViews>
    <sheetView workbookViewId="0">
      <selection activeCell="H4" sqref="H4"/>
    </sheetView>
  </sheetViews>
  <sheetFormatPr baseColWidth="10" defaultRowHeight="16"/>
  <sheetData>
    <row r="1" spans="1:16">
      <c r="A1" t="s">
        <v>12</v>
      </c>
      <c r="B1" t="s">
        <v>13</v>
      </c>
      <c r="C1" t="s">
        <v>14</v>
      </c>
      <c r="D1" t="s">
        <v>15</v>
      </c>
      <c r="E1" t="s">
        <v>16</v>
      </c>
      <c r="F1" t="s">
        <v>17</v>
      </c>
    </row>
    <row r="2" spans="1:16">
      <c r="A2">
        <v>315</v>
      </c>
      <c r="B2">
        <v>303</v>
      </c>
      <c r="C2">
        <v>15</v>
      </c>
      <c r="D2">
        <v>10</v>
      </c>
      <c r="E2">
        <v>3.8</v>
      </c>
      <c r="F2">
        <v>4.9000000000000004</v>
      </c>
    </row>
    <row r="3" spans="1:16">
      <c r="I3" t="s">
        <v>19</v>
      </c>
      <c r="O3" t="s">
        <v>4</v>
      </c>
      <c r="P3" t="s">
        <v>5</v>
      </c>
    </row>
    <row r="4" spans="1:16">
      <c r="G4" t="s">
        <v>18</v>
      </c>
      <c r="H4">
        <f>ABS((A2-B2)/(SQRT((E2*E2/C2)+(F2*F2/D2))))</f>
        <v>6.5429676089145596</v>
      </c>
      <c r="I4">
        <v>1.714</v>
      </c>
      <c r="O4" t="s">
        <v>6</v>
      </c>
      <c r="P4" t="s">
        <v>7</v>
      </c>
    </row>
    <row r="5" spans="1:16">
      <c r="H5" t="str">
        <f>IF(H4&gt;I4,"Reject","Don't Reject")</f>
        <v>Reject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30CCCF-4BE4-664F-9D5A-A20ACF4C501F}">
  <dimension ref="A1:L14"/>
  <sheetViews>
    <sheetView workbookViewId="0">
      <selection activeCell="I12" sqref="I12:K15"/>
    </sheetView>
  </sheetViews>
  <sheetFormatPr baseColWidth="10" defaultRowHeight="16"/>
  <cols>
    <col min="10" max="10" width="16.1640625" customWidth="1"/>
  </cols>
  <sheetData>
    <row r="1" spans="1:12">
      <c r="A1" t="s">
        <v>73</v>
      </c>
      <c r="B1" t="s">
        <v>72</v>
      </c>
      <c r="C1" t="s">
        <v>74</v>
      </c>
      <c r="D1" t="s">
        <v>75</v>
      </c>
      <c r="E1" t="s">
        <v>76</v>
      </c>
      <c r="F1" t="s">
        <v>77</v>
      </c>
      <c r="G1" t="s">
        <v>78</v>
      </c>
      <c r="H1" t="s">
        <v>38</v>
      </c>
      <c r="I1" t="s">
        <v>79</v>
      </c>
      <c r="J1" t="s">
        <v>80</v>
      </c>
      <c r="K1" t="s">
        <v>81</v>
      </c>
      <c r="L1" t="s">
        <v>80</v>
      </c>
    </row>
    <row r="2" spans="1:12">
      <c r="A2">
        <v>85</v>
      </c>
      <c r="B2">
        <f>A9/COUNT(A2:A8)</f>
        <v>75.5</v>
      </c>
      <c r="C2">
        <f>A2-$B$2</f>
        <v>9.5</v>
      </c>
      <c r="D2">
        <f>C2*C2</f>
        <v>90.25</v>
      </c>
      <c r="E2">
        <f>D9/(COUNT(A2:A8)-1)</f>
        <v>49.1</v>
      </c>
      <c r="F2">
        <f>SQRT(E2)</f>
        <v>7.0071392165419404</v>
      </c>
      <c r="G2">
        <v>70</v>
      </c>
      <c r="H2">
        <f>(B2-G2)/(F2/SQRT(COUNT(A2:A8)))</f>
        <v>1.9226382078299959</v>
      </c>
      <c r="I2">
        <v>1.96</v>
      </c>
      <c r="J2" t="str">
        <f>IF(H2&gt;I2,"Reject","Don't Reject")</f>
        <v>Don't Reject</v>
      </c>
      <c r="K2">
        <v>2.58</v>
      </c>
      <c r="L2" t="str">
        <f>IF(H2&gt;K2,"Reject","Don't Reject")</f>
        <v>Don't Reject</v>
      </c>
    </row>
    <row r="3" spans="1:12">
      <c r="A3">
        <v>77</v>
      </c>
      <c r="C3">
        <f t="shared" ref="C3:C7" si="0">A3-$B$2</f>
        <v>1.5</v>
      </c>
      <c r="D3">
        <f t="shared" ref="D3:D7" si="1">C3*C3</f>
        <v>2.25</v>
      </c>
    </row>
    <row r="4" spans="1:12">
      <c r="A4">
        <v>82</v>
      </c>
      <c r="C4">
        <f t="shared" si="0"/>
        <v>6.5</v>
      </c>
      <c r="D4">
        <f t="shared" si="1"/>
        <v>42.25</v>
      </c>
    </row>
    <row r="5" spans="1:12">
      <c r="A5">
        <v>68</v>
      </c>
      <c r="C5">
        <f t="shared" si="0"/>
        <v>-7.5</v>
      </c>
      <c r="D5">
        <f t="shared" si="1"/>
        <v>56.25</v>
      </c>
    </row>
    <row r="6" spans="1:12">
      <c r="A6">
        <v>72</v>
      </c>
      <c r="C6">
        <f t="shared" si="0"/>
        <v>-3.5</v>
      </c>
      <c r="D6">
        <f t="shared" si="1"/>
        <v>12.25</v>
      </c>
    </row>
    <row r="7" spans="1:12">
      <c r="A7">
        <v>69</v>
      </c>
      <c r="C7">
        <f t="shared" si="0"/>
        <v>-6.5</v>
      </c>
      <c r="D7">
        <f t="shared" si="1"/>
        <v>42.25</v>
      </c>
    </row>
    <row r="9" spans="1:12">
      <c r="A9">
        <f>SUM(A2:A8)</f>
        <v>453</v>
      </c>
      <c r="D9">
        <f>SUM((D2:D8))</f>
        <v>245.5</v>
      </c>
    </row>
    <row r="13" spans="1:12">
      <c r="I13" s="4"/>
      <c r="J13" s="4"/>
      <c r="K13" s="4"/>
      <c r="L13" s="4"/>
    </row>
    <row r="14" spans="1:12">
      <c r="I14" s="4"/>
      <c r="J14" s="4"/>
      <c r="K14" s="4"/>
      <c r="L14" s="4"/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B4FE50-1042-A640-9564-5FA5FF173D19}">
  <dimension ref="A1:K13"/>
  <sheetViews>
    <sheetView workbookViewId="0">
      <selection activeCell="C13" sqref="C13"/>
    </sheetView>
  </sheetViews>
  <sheetFormatPr baseColWidth="10" defaultRowHeight="16"/>
  <cols>
    <col min="1" max="1" width="23.5" customWidth="1"/>
  </cols>
  <sheetData>
    <row r="1" spans="1:11">
      <c r="A1" s="5"/>
      <c r="B1" s="7" t="s">
        <v>85</v>
      </c>
      <c r="C1" s="7" t="s">
        <v>86</v>
      </c>
      <c r="D1" s="7" t="s">
        <v>24</v>
      </c>
      <c r="F1" s="7" t="s">
        <v>91</v>
      </c>
      <c r="G1" s="7" t="s">
        <v>90</v>
      </c>
      <c r="H1" s="7" t="s">
        <v>89</v>
      </c>
      <c r="I1" s="7" t="s">
        <v>88</v>
      </c>
      <c r="J1" s="7" t="s">
        <v>93</v>
      </c>
    </row>
    <row r="2" spans="1:11">
      <c r="A2" s="7" t="s">
        <v>82</v>
      </c>
      <c r="B2" s="6">
        <v>42</v>
      </c>
      <c r="C2" s="6">
        <v>3</v>
      </c>
      <c r="D2" s="6">
        <f>SUM(B2,C2)</f>
        <v>45</v>
      </c>
      <c r="F2">
        <f>B2</f>
        <v>42</v>
      </c>
      <c r="G2">
        <f>B10</f>
        <v>35.357142857142854</v>
      </c>
      <c r="H2">
        <f>F2-G2</f>
        <v>6.6428571428571459</v>
      </c>
      <c r="I2">
        <f>H2*H2</f>
        <v>44.127551020408205</v>
      </c>
      <c r="J2">
        <f>I2/G2</f>
        <v>1.2480519480519494</v>
      </c>
    </row>
    <row r="3" spans="1:11">
      <c r="A3" s="7" t="s">
        <v>83</v>
      </c>
      <c r="B3" s="6">
        <v>13</v>
      </c>
      <c r="C3" s="6">
        <v>12</v>
      </c>
      <c r="D3" s="6">
        <f>SUM(B3,C3)</f>
        <v>25</v>
      </c>
      <c r="F3">
        <f>C2</f>
        <v>3</v>
      </c>
      <c r="G3">
        <f>C10</f>
        <v>9.6428571428571423</v>
      </c>
      <c r="H3">
        <f t="shared" ref="H3:H6" si="0">F3-G3</f>
        <v>-6.6428571428571423</v>
      </c>
      <c r="I3">
        <f>H3*H3</f>
        <v>44.127551020408156</v>
      </c>
      <c r="J3">
        <f t="shared" ref="J3:J5" si="1">I3/G3</f>
        <v>4.5761904761904759</v>
      </c>
    </row>
    <row r="4" spans="1:11">
      <c r="A4" s="7" t="s">
        <v>84</v>
      </c>
      <c r="B4" s="6">
        <f>SUM(B2,B3)</f>
        <v>55</v>
      </c>
      <c r="C4" s="6">
        <f>SUM(C2,C3)</f>
        <v>15</v>
      </c>
      <c r="D4" s="1">
        <f>SUM(D2,D3)</f>
        <v>70</v>
      </c>
      <c r="F4">
        <f>B3</f>
        <v>13</v>
      </c>
      <c r="G4">
        <f>B11</f>
        <v>19.642857142857142</v>
      </c>
      <c r="H4">
        <f t="shared" si="0"/>
        <v>-6.6428571428571423</v>
      </c>
      <c r="I4">
        <f t="shared" ref="I4:I6" si="2">H4*H4</f>
        <v>44.127551020408156</v>
      </c>
      <c r="J4">
        <f t="shared" si="1"/>
        <v>2.2464935064935063</v>
      </c>
    </row>
    <row r="5" spans="1:11">
      <c r="F5">
        <f>C3</f>
        <v>12</v>
      </c>
      <c r="G5">
        <f>C11</f>
        <v>5.3571428571428568</v>
      </c>
      <c r="H5">
        <f t="shared" si="0"/>
        <v>6.6428571428571432</v>
      </c>
      <c r="I5">
        <f t="shared" si="2"/>
        <v>44.12755102040817</v>
      </c>
      <c r="J5">
        <f t="shared" si="1"/>
        <v>8.2371428571428584</v>
      </c>
    </row>
    <row r="6" spans="1:11">
      <c r="E6" t="s">
        <v>92</v>
      </c>
      <c r="F6">
        <f>SUM(F2:F5)</f>
        <v>70</v>
      </c>
      <c r="G6">
        <f>SUM(G2:G5)</f>
        <v>70</v>
      </c>
      <c r="H6">
        <f t="shared" si="0"/>
        <v>0</v>
      </c>
      <c r="I6">
        <f t="shared" si="2"/>
        <v>0</v>
      </c>
      <c r="J6">
        <f>SUM(J2:J5)</f>
        <v>16.307878787878792</v>
      </c>
    </row>
    <row r="7" spans="1:11">
      <c r="A7" s="7" t="s">
        <v>87</v>
      </c>
    </row>
    <row r="8" spans="1:11">
      <c r="J8" t="s">
        <v>94</v>
      </c>
      <c r="K8">
        <f>J6</f>
        <v>16.307878787878792</v>
      </c>
    </row>
    <row r="9" spans="1:11">
      <c r="A9" s="5"/>
      <c r="B9" s="7" t="s">
        <v>85</v>
      </c>
      <c r="C9" s="7" t="s">
        <v>86</v>
      </c>
      <c r="J9" t="s">
        <v>95</v>
      </c>
      <c r="K9">
        <f>(COUNT(B2:C2)-1) * (COUNT(B2:B3)-1)</f>
        <v>1</v>
      </c>
    </row>
    <row r="10" spans="1:11">
      <c r="A10" s="7" t="s">
        <v>82</v>
      </c>
      <c r="B10" s="6">
        <f>(D2*B4)/D4</f>
        <v>35.357142857142854</v>
      </c>
      <c r="C10" s="6">
        <f>(D2*C4)/D4</f>
        <v>9.6428571428571423</v>
      </c>
      <c r="I10">
        <v>0.05</v>
      </c>
      <c r="J10" t="s">
        <v>96</v>
      </c>
      <c r="K10">
        <v>3.84</v>
      </c>
    </row>
    <row r="11" spans="1:11">
      <c r="A11" s="7" t="s">
        <v>83</v>
      </c>
      <c r="B11" s="6">
        <f>(D3*B4)/D4</f>
        <v>19.642857142857142</v>
      </c>
      <c r="C11" s="6">
        <f>(D3*C4)/D4</f>
        <v>5.3571428571428568</v>
      </c>
      <c r="I11">
        <v>0.01</v>
      </c>
      <c r="J11" t="s">
        <v>97</v>
      </c>
      <c r="K11">
        <v>6.63</v>
      </c>
    </row>
    <row r="12" spans="1:11">
      <c r="J12" t="s">
        <v>98</v>
      </c>
      <c r="K12">
        <f>(I11+((I10-I11)*(J6-K10))/(K11-K10))</f>
        <v>0.18875095036385367</v>
      </c>
    </row>
    <row r="13" spans="1:11" ht="119">
      <c r="C13" s="8" t="s">
        <v>99</v>
      </c>
    </row>
  </sheetData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07D61F-5897-4C43-8818-D7BD5B0ECE96}">
  <dimension ref="A1:G11"/>
  <sheetViews>
    <sheetView workbookViewId="0">
      <selection activeCell="G11" sqref="G11"/>
    </sheetView>
  </sheetViews>
  <sheetFormatPr baseColWidth="10" defaultRowHeight="16"/>
  <cols>
    <col min="1" max="1" width="30.6640625" customWidth="1"/>
    <col min="7" max="7" width="12.1640625" bestFit="1" customWidth="1"/>
  </cols>
  <sheetData>
    <row r="1" spans="1:7">
      <c r="A1" s="5"/>
      <c r="B1" s="7" t="s">
        <v>85</v>
      </c>
      <c r="C1" s="7" t="s">
        <v>86</v>
      </c>
      <c r="D1" s="7" t="s">
        <v>24</v>
      </c>
      <c r="F1" s="7" t="s">
        <v>91</v>
      </c>
    </row>
    <row r="2" spans="1:7">
      <c r="A2" s="7" t="s">
        <v>82</v>
      </c>
      <c r="B2" s="6">
        <v>42</v>
      </c>
      <c r="C2" s="6">
        <v>3</v>
      </c>
      <c r="D2" s="6">
        <f>SUM(B2,C2)</f>
        <v>45</v>
      </c>
      <c r="F2">
        <f>B2</f>
        <v>42</v>
      </c>
    </row>
    <row r="3" spans="1:7">
      <c r="A3" s="7" t="s">
        <v>83</v>
      </c>
      <c r="B3" s="6">
        <v>18</v>
      </c>
      <c r="C3" s="6">
        <v>7</v>
      </c>
      <c r="D3" s="6">
        <f>SUM(B3,C3)</f>
        <v>25</v>
      </c>
      <c r="F3">
        <f>C2</f>
        <v>3</v>
      </c>
    </row>
    <row r="4" spans="1:7">
      <c r="A4" s="7" t="s">
        <v>84</v>
      </c>
      <c r="B4" s="6">
        <f>SUM(B2,B3)</f>
        <v>60</v>
      </c>
      <c r="C4" s="6">
        <f>SUM(C2,C3)</f>
        <v>10</v>
      </c>
      <c r="D4" s="1">
        <f>SUM(D2,D3)</f>
        <v>70</v>
      </c>
      <c r="F4">
        <f>B3</f>
        <v>18</v>
      </c>
    </row>
    <row r="5" spans="1:7">
      <c r="F5">
        <f>C3</f>
        <v>7</v>
      </c>
    </row>
    <row r="6" spans="1:7">
      <c r="E6" t="s">
        <v>92</v>
      </c>
      <c r="F6">
        <f>SUM(F2:F5)</f>
        <v>70</v>
      </c>
    </row>
    <row r="11" spans="1:7">
      <c r="F11" t="s">
        <v>63</v>
      </c>
      <c r="G11">
        <f>(1/FACT(D4))*(FACT(D2)/FACT(B2))*(FACT(D3)/FACT(C2)) *(FACT(B4)/FACT(B3)) * (FACT(C4)/FACT(C3))</f>
        <v>1.7194492584828674E-2</v>
      </c>
    </row>
  </sheetData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263605-0AD7-844A-A711-EE46A37124E4}">
  <dimension ref="A1:L13"/>
  <sheetViews>
    <sheetView workbookViewId="0">
      <selection activeCell="G14" sqref="G14"/>
    </sheetView>
  </sheetViews>
  <sheetFormatPr baseColWidth="10" defaultRowHeight="16"/>
  <cols>
    <col min="1" max="1" width="26" customWidth="1"/>
    <col min="2" max="2" width="25.33203125" customWidth="1"/>
  </cols>
  <sheetData>
    <row r="1" spans="1:12">
      <c r="A1" t="s">
        <v>100</v>
      </c>
      <c r="B1" t="s">
        <v>101</v>
      </c>
      <c r="C1" t="s">
        <v>102</v>
      </c>
      <c r="D1" t="s">
        <v>103</v>
      </c>
      <c r="E1" t="s">
        <v>104</v>
      </c>
      <c r="F1" t="s">
        <v>105</v>
      </c>
      <c r="G1" t="s">
        <v>101</v>
      </c>
      <c r="H1" t="s">
        <v>102</v>
      </c>
      <c r="I1" t="s">
        <v>103</v>
      </c>
      <c r="J1" t="s">
        <v>104</v>
      </c>
      <c r="K1" t="s">
        <v>84</v>
      </c>
      <c r="L1" t="s">
        <v>109</v>
      </c>
    </row>
    <row r="2" spans="1:12">
      <c r="A2">
        <v>500</v>
      </c>
      <c r="B2">
        <v>220</v>
      </c>
      <c r="C2">
        <v>170</v>
      </c>
      <c r="D2">
        <v>90</v>
      </c>
      <c r="E2">
        <v>20</v>
      </c>
      <c r="F2" t="s">
        <v>106</v>
      </c>
      <c r="G2">
        <v>4</v>
      </c>
      <c r="H2">
        <v>3</v>
      </c>
      <c r="I2">
        <v>2</v>
      </c>
      <c r="J2">
        <v>1</v>
      </c>
      <c r="K2">
        <f>SUM(G2:J2)</f>
        <v>10</v>
      </c>
      <c r="L2">
        <f>A2/K2</f>
        <v>50</v>
      </c>
    </row>
    <row r="6" spans="1:12">
      <c r="A6" t="s">
        <v>107</v>
      </c>
      <c r="B6" t="s">
        <v>108</v>
      </c>
      <c r="C6" t="s">
        <v>110</v>
      </c>
      <c r="D6" t="s">
        <v>111</v>
      </c>
      <c r="E6" t="s">
        <v>112</v>
      </c>
    </row>
    <row r="7" spans="1:12">
      <c r="A7">
        <f>B2</f>
        <v>220</v>
      </c>
      <c r="B7">
        <f>G2*L2</f>
        <v>200</v>
      </c>
      <c r="C7">
        <f>A7-B7</f>
        <v>20</v>
      </c>
      <c r="D7">
        <f>C7*C7</f>
        <v>400</v>
      </c>
      <c r="E7">
        <f>D7/B7</f>
        <v>2</v>
      </c>
    </row>
    <row r="8" spans="1:12">
      <c r="A8">
        <f>C2</f>
        <v>170</v>
      </c>
      <c r="B8">
        <f>H2*L2</f>
        <v>150</v>
      </c>
      <c r="C8">
        <f t="shared" ref="C8:C10" si="0">A8-B8</f>
        <v>20</v>
      </c>
      <c r="D8">
        <f t="shared" ref="D8:D10" si="1">C8*C8</f>
        <v>400</v>
      </c>
      <c r="E8">
        <f t="shared" ref="E8:E10" si="2">D8/B8</f>
        <v>2.6666666666666665</v>
      </c>
    </row>
    <row r="9" spans="1:12">
      <c r="A9">
        <f>D2</f>
        <v>90</v>
      </c>
      <c r="B9">
        <f>I2*L2</f>
        <v>100</v>
      </c>
      <c r="C9">
        <f t="shared" si="0"/>
        <v>-10</v>
      </c>
      <c r="D9">
        <f t="shared" si="1"/>
        <v>100</v>
      </c>
      <c r="E9">
        <f t="shared" si="2"/>
        <v>1</v>
      </c>
    </row>
    <row r="10" spans="1:12">
      <c r="A10">
        <f>E2</f>
        <v>20</v>
      </c>
      <c r="B10">
        <f>J2*L2</f>
        <v>50</v>
      </c>
      <c r="C10">
        <f t="shared" si="0"/>
        <v>-30</v>
      </c>
      <c r="D10">
        <f t="shared" si="1"/>
        <v>900</v>
      </c>
      <c r="E10">
        <f t="shared" si="2"/>
        <v>18</v>
      </c>
    </row>
    <row r="11" spans="1:12">
      <c r="A11" t="s">
        <v>113</v>
      </c>
      <c r="E11">
        <f>SUM(E7:E10)</f>
        <v>23.666666666666664</v>
      </c>
    </row>
    <row r="13" spans="1:12">
      <c r="F13" t="s">
        <v>95</v>
      </c>
      <c r="G13" s="2">
        <f>COUNT(A7:A10) -1</f>
        <v>3</v>
      </c>
    </row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3B2A16-87AF-FB40-AB74-F2349F384D79}">
  <dimension ref="A1:E10"/>
  <sheetViews>
    <sheetView workbookViewId="0">
      <selection activeCell="E11" sqref="E11"/>
    </sheetView>
  </sheetViews>
  <sheetFormatPr baseColWidth="10" defaultRowHeight="16"/>
  <sheetData>
    <row r="1" spans="1:5">
      <c r="A1" t="s">
        <v>114</v>
      </c>
      <c r="B1" t="s">
        <v>115</v>
      </c>
      <c r="C1" t="s">
        <v>110</v>
      </c>
      <c r="D1" t="s">
        <v>111</v>
      </c>
      <c r="E1" t="s">
        <v>112</v>
      </c>
    </row>
    <row r="2" spans="1:5">
      <c r="A2">
        <v>184</v>
      </c>
      <c r="B2">
        <f>$A$10/COUNT(($A$2:$A$8))</f>
        <v>150</v>
      </c>
      <c r="C2">
        <f>A2-B2</f>
        <v>34</v>
      </c>
      <c r="D2">
        <f>C2*C2</f>
        <v>1156</v>
      </c>
      <c r="E2">
        <f>D2/B2</f>
        <v>7.706666666666667</v>
      </c>
    </row>
    <row r="3" spans="1:5">
      <c r="A3">
        <v>148</v>
      </c>
      <c r="B3">
        <f t="shared" ref="B3:B8" si="0">$A$10/COUNT(($A$2:$A$8))</f>
        <v>150</v>
      </c>
      <c r="C3">
        <f t="shared" ref="C3:C8" si="1">A3-B3</f>
        <v>-2</v>
      </c>
      <c r="D3">
        <f t="shared" ref="D3:D8" si="2">C3*C3</f>
        <v>4</v>
      </c>
      <c r="E3">
        <f t="shared" ref="E3:E8" si="3">D3/B3</f>
        <v>2.6666666666666668E-2</v>
      </c>
    </row>
    <row r="4" spans="1:5">
      <c r="A4">
        <v>145</v>
      </c>
      <c r="B4">
        <f t="shared" si="0"/>
        <v>150</v>
      </c>
      <c r="C4">
        <f t="shared" si="1"/>
        <v>-5</v>
      </c>
      <c r="D4">
        <f t="shared" si="2"/>
        <v>25</v>
      </c>
      <c r="E4">
        <f t="shared" si="3"/>
        <v>0.16666666666666666</v>
      </c>
    </row>
    <row r="5" spans="1:5">
      <c r="A5">
        <v>153</v>
      </c>
      <c r="B5">
        <f t="shared" si="0"/>
        <v>150</v>
      </c>
      <c r="C5">
        <f t="shared" si="1"/>
        <v>3</v>
      </c>
      <c r="D5">
        <f t="shared" si="2"/>
        <v>9</v>
      </c>
      <c r="E5">
        <f t="shared" si="3"/>
        <v>0.06</v>
      </c>
    </row>
    <row r="6" spans="1:5">
      <c r="A6">
        <v>150</v>
      </c>
      <c r="B6">
        <f t="shared" si="0"/>
        <v>150</v>
      </c>
      <c r="C6">
        <f t="shared" si="1"/>
        <v>0</v>
      </c>
      <c r="D6">
        <f t="shared" si="2"/>
        <v>0</v>
      </c>
      <c r="E6">
        <f t="shared" si="3"/>
        <v>0</v>
      </c>
    </row>
    <row r="7" spans="1:5">
      <c r="A7">
        <v>154</v>
      </c>
      <c r="B7">
        <f t="shared" si="0"/>
        <v>150</v>
      </c>
      <c r="C7">
        <f t="shared" si="1"/>
        <v>4</v>
      </c>
      <c r="D7">
        <f t="shared" si="2"/>
        <v>16</v>
      </c>
      <c r="E7">
        <f t="shared" si="3"/>
        <v>0.10666666666666667</v>
      </c>
    </row>
    <row r="8" spans="1:5">
      <c r="A8">
        <v>116</v>
      </c>
      <c r="B8">
        <f t="shared" si="0"/>
        <v>150</v>
      </c>
      <c r="C8">
        <f t="shared" si="1"/>
        <v>-34</v>
      </c>
      <c r="D8">
        <f t="shared" si="2"/>
        <v>1156</v>
      </c>
      <c r="E8">
        <f t="shared" si="3"/>
        <v>7.706666666666667</v>
      </c>
    </row>
    <row r="10" spans="1:5">
      <c r="A10">
        <f>SUM(A2:A8)</f>
        <v>1050</v>
      </c>
      <c r="D10">
        <f>SUM(D2:D8)</f>
        <v>2366</v>
      </c>
      <c r="E10">
        <f>SUM(E2:E8)</f>
        <v>15.773333333333333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78BF4D-7467-4142-AAA9-3628737DC97C}">
  <dimension ref="A1:F6"/>
  <sheetViews>
    <sheetView workbookViewId="0">
      <selection activeCell="F3" sqref="F3"/>
    </sheetView>
  </sheetViews>
  <sheetFormatPr baseColWidth="10" defaultRowHeight="16"/>
  <cols>
    <col min="5" max="5" width="22.83203125" customWidth="1"/>
  </cols>
  <sheetData>
    <row r="1" spans="1:6">
      <c r="A1" t="s">
        <v>116</v>
      </c>
      <c r="B1" t="s">
        <v>117</v>
      </c>
      <c r="C1" t="s">
        <v>2</v>
      </c>
      <c r="D1" t="s">
        <v>95</v>
      </c>
    </row>
    <row r="2" spans="1:6">
      <c r="A2">
        <f>1.2^2</f>
        <v>1.44</v>
      </c>
      <c r="B2">
        <f>0.9^2</f>
        <v>0.81</v>
      </c>
      <c r="C2">
        <v>10</v>
      </c>
      <c r="D2">
        <f>C2-1</f>
        <v>9</v>
      </c>
    </row>
    <row r="3" spans="1:6">
      <c r="E3" t="s">
        <v>118</v>
      </c>
      <c r="F3">
        <f>((C2-1)*A2)/B2</f>
        <v>15.999999999999998</v>
      </c>
    </row>
    <row r="4" spans="1:6">
      <c r="E4" t="s">
        <v>119</v>
      </c>
      <c r="F4" s="3">
        <v>16.919</v>
      </c>
    </row>
    <row r="6" spans="1:6">
      <c r="E6" t="s">
        <v>120</v>
      </c>
      <c r="F6" t="str">
        <f>IF(ABS(F3)&gt;F4,"Reject","Don't Reject")</f>
        <v>Don't Reject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5681B3-591E-6541-9322-E610E3C59F79}">
  <dimension ref="A1"/>
  <sheetViews>
    <sheetView workbookViewId="0">
      <selection activeCell="C16" sqref="C16"/>
    </sheetView>
  </sheetViews>
  <sheetFormatPr baseColWidth="10" defaultRowHeight="16"/>
  <sheetData>
    <row r="1" spans="1:1">
      <c r="A1" t="s">
        <v>234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D3972F-1239-8640-80F4-238EA9EE339F}">
  <dimension ref="A2:I3"/>
  <sheetViews>
    <sheetView workbookViewId="0">
      <selection activeCell="D3" sqref="D3"/>
    </sheetView>
  </sheetViews>
  <sheetFormatPr baseColWidth="10" defaultRowHeight="16"/>
  <cols>
    <col min="9" max="9" width="29" customWidth="1"/>
  </cols>
  <sheetData>
    <row r="2" spans="1:9">
      <c r="A2" t="s">
        <v>48</v>
      </c>
      <c r="B2" t="s">
        <v>49</v>
      </c>
      <c r="C2" t="s">
        <v>121</v>
      </c>
      <c r="D2" t="s">
        <v>122</v>
      </c>
      <c r="E2" t="s">
        <v>123</v>
      </c>
      <c r="F2" t="s">
        <v>68</v>
      </c>
      <c r="G2" t="s">
        <v>69</v>
      </c>
      <c r="H2" t="s">
        <v>124</v>
      </c>
      <c r="I2" t="s">
        <v>125</v>
      </c>
    </row>
    <row r="3" spans="1:9">
      <c r="A3">
        <v>12</v>
      </c>
      <c r="B3">
        <v>15</v>
      </c>
      <c r="C3">
        <v>5.0999999999999996</v>
      </c>
      <c r="D3">
        <v>4.7</v>
      </c>
      <c r="E3">
        <f>C3/D3</f>
        <v>1.0851063829787233</v>
      </c>
      <c r="H3" s="9">
        <v>2.5654974099999999</v>
      </c>
      <c r="I3" t="str">
        <f>IF(E3&lt;H3,"Don't Reject", "Reject")</f>
        <v>Don't Reject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D86408-8F68-4340-A34C-3B6D1C41DCA7}">
  <dimension ref="A1:T26"/>
  <sheetViews>
    <sheetView topLeftCell="A2" workbookViewId="0">
      <selection activeCell="O22" sqref="O22"/>
    </sheetView>
  </sheetViews>
  <sheetFormatPr baseColWidth="10" defaultRowHeight="16"/>
  <cols>
    <col min="2" max="5" width="15.6640625" bestFit="1" customWidth="1"/>
    <col min="6" max="6" width="15.5" customWidth="1"/>
    <col min="7" max="8" width="22" customWidth="1"/>
    <col min="10" max="10" width="11.6640625" bestFit="1" customWidth="1"/>
    <col min="15" max="15" width="23.1640625" customWidth="1"/>
    <col min="17" max="17" width="16.33203125" customWidth="1"/>
    <col min="18" max="18" width="21.5" customWidth="1"/>
  </cols>
  <sheetData>
    <row r="1" spans="2:19">
      <c r="B1" t="s">
        <v>126</v>
      </c>
      <c r="C1" t="s">
        <v>127</v>
      </c>
      <c r="D1" t="s">
        <v>128</v>
      </c>
      <c r="E1" t="s">
        <v>129</v>
      </c>
      <c r="F1" t="s">
        <v>130</v>
      </c>
      <c r="G1" t="s">
        <v>131</v>
      </c>
      <c r="H1" t="s">
        <v>133</v>
      </c>
      <c r="I1" t="s">
        <v>132</v>
      </c>
      <c r="J1" t="s">
        <v>135</v>
      </c>
      <c r="K1" t="s">
        <v>134</v>
      </c>
      <c r="L1" t="s">
        <v>136</v>
      </c>
    </row>
    <row r="2" spans="2:19">
      <c r="B2" s="17">
        <v>11.5</v>
      </c>
      <c r="C2" s="17">
        <v>19.5</v>
      </c>
      <c r="D2" s="17">
        <v>18.5</v>
      </c>
      <c r="E2" s="17">
        <v>30</v>
      </c>
      <c r="G2">
        <f>(F23*F23)/COUNT(B2:E21)</f>
        <v>19847.025000000001</v>
      </c>
      <c r="H2">
        <f>SUMSQ(B2:E22)</f>
        <v>21119.5</v>
      </c>
      <c r="I2">
        <f>H2-G2</f>
        <v>1272.4749999999985</v>
      </c>
      <c r="J2" s="2">
        <f>F25</f>
        <v>20196.55</v>
      </c>
      <c r="K2" s="2">
        <f>J2-G2</f>
        <v>349.52499999999782</v>
      </c>
      <c r="L2" s="2">
        <f>I2-K2</f>
        <v>922.95000000000073</v>
      </c>
    </row>
    <row r="3" spans="2:19">
      <c r="B3" s="17"/>
      <c r="C3" s="17"/>
      <c r="D3" s="17"/>
      <c r="E3" s="17"/>
    </row>
    <row r="4" spans="2:19">
      <c r="B4" s="17">
        <v>12.5</v>
      </c>
      <c r="C4" s="17">
        <v>18.5</v>
      </c>
      <c r="D4" s="17">
        <v>16.5</v>
      </c>
      <c r="E4" s="17">
        <v>26.5</v>
      </c>
    </row>
    <row r="5" spans="2:19">
      <c r="B5" s="17"/>
      <c r="C5" s="17"/>
      <c r="D5" s="17"/>
      <c r="E5" s="17"/>
    </row>
    <row r="6" spans="2:19">
      <c r="B6" s="17">
        <v>18.5</v>
      </c>
      <c r="C6" s="17">
        <v>16</v>
      </c>
      <c r="D6" s="17">
        <v>24.5</v>
      </c>
      <c r="E6" s="17">
        <v>27</v>
      </c>
      <c r="O6" t="s">
        <v>137</v>
      </c>
      <c r="P6" t="s">
        <v>95</v>
      </c>
      <c r="Q6" t="s">
        <v>140</v>
      </c>
      <c r="R6" t="s">
        <v>141</v>
      </c>
      <c r="S6" t="s">
        <v>142</v>
      </c>
    </row>
    <row r="7" spans="2:19">
      <c r="B7" s="17"/>
      <c r="C7" s="17"/>
      <c r="D7" s="17"/>
      <c r="E7" s="17"/>
      <c r="O7" t="s">
        <v>138</v>
      </c>
      <c r="P7" s="2">
        <f>COUNT(B2:E2)-1</f>
        <v>3</v>
      </c>
      <c r="Q7" s="2">
        <f>K2</f>
        <v>349.52499999999782</v>
      </c>
      <c r="R7">
        <f>Q7/P7</f>
        <v>116.5083333333326</v>
      </c>
      <c r="S7" s="16">
        <f>R7/R8</f>
        <v>4.5444498618559726</v>
      </c>
    </row>
    <row r="8" spans="2:19">
      <c r="B8" s="17">
        <v>21</v>
      </c>
      <c r="C8" s="17">
        <v>22</v>
      </c>
      <c r="D8" s="17">
        <v>30</v>
      </c>
      <c r="E8" s="17">
        <v>34</v>
      </c>
      <c r="O8" t="s">
        <v>139</v>
      </c>
      <c r="P8" s="2">
        <f>COUNT(B2:E21)-COUNT(B2:E3)</f>
        <v>36</v>
      </c>
      <c r="Q8" s="2">
        <f>L2</f>
        <v>922.95000000000073</v>
      </c>
      <c r="R8">
        <f>Q8/P8</f>
        <v>25.637500000000021</v>
      </c>
      <c r="S8" s="16"/>
    </row>
    <row r="9" spans="2:19">
      <c r="B9" s="17"/>
      <c r="C9" s="17"/>
      <c r="D9" s="17"/>
      <c r="E9" s="17"/>
      <c r="O9" t="s">
        <v>84</v>
      </c>
      <c r="P9" s="2">
        <f>SUM(P7:P8)</f>
        <v>39</v>
      </c>
      <c r="Q9" s="2">
        <f>SUM(Q7:Q8)</f>
        <v>1272.4749999999985</v>
      </c>
      <c r="R9" s="16" t="s">
        <v>143</v>
      </c>
      <c r="S9" s="16"/>
    </row>
    <row r="10" spans="2:19">
      <c r="B10" s="17">
        <v>28</v>
      </c>
      <c r="C10" s="17">
        <v>30</v>
      </c>
      <c r="D10" s="17">
        <v>28.5</v>
      </c>
      <c r="E10" s="17">
        <v>20</v>
      </c>
    </row>
    <row r="11" spans="2:19">
      <c r="B11" s="17"/>
      <c r="C11" s="17"/>
      <c r="D11" s="17"/>
      <c r="E11" s="17"/>
    </row>
    <row r="12" spans="2:19">
      <c r="B12" s="17">
        <v>26</v>
      </c>
      <c r="C12" s="17">
        <v>24.5</v>
      </c>
      <c r="D12" s="17">
        <v>14</v>
      </c>
      <c r="E12" s="17">
        <v>22.5</v>
      </c>
    </row>
    <row r="13" spans="2:19">
      <c r="B13" s="17"/>
      <c r="C13" s="17"/>
      <c r="D13" s="17"/>
      <c r="E13" s="17"/>
    </row>
    <row r="14" spans="2:19">
      <c r="B14" s="17">
        <v>14</v>
      </c>
      <c r="C14" s="17">
        <v>19</v>
      </c>
      <c r="D14" s="17">
        <v>19</v>
      </c>
      <c r="E14" s="17">
        <v>28</v>
      </c>
    </row>
    <row r="15" spans="2:19">
      <c r="B15" s="17"/>
      <c r="C15" s="17"/>
      <c r="D15" s="17"/>
      <c r="E15" s="17"/>
    </row>
    <row r="16" spans="2:19">
      <c r="B16" s="17">
        <v>22</v>
      </c>
      <c r="C16" s="17">
        <v>24</v>
      </c>
      <c r="D16" s="17">
        <v>17</v>
      </c>
      <c r="E16" s="17">
        <v>32</v>
      </c>
      <c r="O16" t="s">
        <v>144</v>
      </c>
      <c r="P16">
        <f>R8</f>
        <v>25.637500000000021</v>
      </c>
    </row>
    <row r="17" spans="1:20">
      <c r="B17" s="17"/>
      <c r="C17" s="17"/>
      <c r="D17" s="17"/>
      <c r="E17" s="17"/>
      <c r="O17" t="s">
        <v>145</v>
      </c>
      <c r="P17">
        <v>2.0299999999999998</v>
      </c>
    </row>
    <row r="18" spans="1:20">
      <c r="B18" s="17">
        <v>20</v>
      </c>
      <c r="C18" s="17">
        <v>19.5</v>
      </c>
      <c r="D18" s="17">
        <v>18</v>
      </c>
      <c r="E18" s="17">
        <v>27</v>
      </c>
      <c r="O18" t="s">
        <v>146</v>
      </c>
      <c r="P18">
        <f>P17*SQRT(P16*((1/COUNT(B2:B21)+(1/COUNT(B2:B21)))))</f>
        <v>4.5967287009350484</v>
      </c>
    </row>
    <row r="19" spans="1:20">
      <c r="B19" s="17"/>
      <c r="C19" s="17"/>
      <c r="D19" s="17"/>
      <c r="E19" s="17"/>
    </row>
    <row r="20" spans="1:20">
      <c r="B20" s="17">
        <v>22</v>
      </c>
      <c r="C20" s="17">
        <v>15</v>
      </c>
      <c r="D20" s="17">
        <v>29</v>
      </c>
      <c r="E20" s="17">
        <v>25.5</v>
      </c>
      <c r="O20" t="s">
        <v>150</v>
      </c>
    </row>
    <row r="21" spans="1:20">
      <c r="B21" s="17"/>
      <c r="C21" s="17"/>
      <c r="D21" s="17"/>
      <c r="E21" s="17"/>
      <c r="O21" t="s">
        <v>151</v>
      </c>
      <c r="P21" t="s">
        <v>152</v>
      </c>
      <c r="Q21" t="s">
        <v>153</v>
      </c>
      <c r="R21" t="s">
        <v>154</v>
      </c>
      <c r="S21" t="s">
        <v>155</v>
      </c>
      <c r="T21" t="s">
        <v>156</v>
      </c>
    </row>
    <row r="22" spans="1:20">
      <c r="O22">
        <f>B26-C26</f>
        <v>-1.25</v>
      </c>
      <c r="P22">
        <f>B26-D26</f>
        <v>-1.9499999999999993</v>
      </c>
      <c r="Q22">
        <f>B26-E26</f>
        <v>-7.6999999999999993</v>
      </c>
      <c r="R22">
        <f>C26-D26</f>
        <v>-0.69999999999999929</v>
      </c>
      <c r="S22">
        <f>C26-E26</f>
        <v>-6.4499999999999993</v>
      </c>
      <c r="T22">
        <f>D26-E26</f>
        <v>-5.75</v>
      </c>
    </row>
    <row r="23" spans="1:20">
      <c r="A23" t="s">
        <v>24</v>
      </c>
      <c r="B23" s="2">
        <f>SUM(B2:B21)</f>
        <v>195.5</v>
      </c>
      <c r="C23" s="2">
        <f t="shared" ref="C23:D23" si="0">SUM(C2:C21)</f>
        <v>208</v>
      </c>
      <c r="D23" s="2">
        <f t="shared" si="0"/>
        <v>215</v>
      </c>
      <c r="E23" s="2">
        <f>SUM(E2:E21)</f>
        <v>272.5</v>
      </c>
      <c r="F23" s="2">
        <f>SUM(B23:E23)</f>
        <v>891</v>
      </c>
    </row>
    <row r="24" spans="1:20">
      <c r="A24" t="s">
        <v>147</v>
      </c>
      <c r="B24">
        <f>B23*B23</f>
        <v>38220.25</v>
      </c>
      <c r="C24">
        <f t="shared" ref="C24:E24" si="1">C23*C23</f>
        <v>43264</v>
      </c>
      <c r="D24">
        <f t="shared" si="1"/>
        <v>46225</v>
      </c>
      <c r="E24">
        <f t="shared" si="1"/>
        <v>74256.25</v>
      </c>
      <c r="F24" s="2">
        <f>SUM(B24:E24)</f>
        <v>201965.5</v>
      </c>
    </row>
    <row r="25" spans="1:20">
      <c r="A25" t="s">
        <v>148</v>
      </c>
      <c r="B25">
        <f>B24/COUNT(B2:B21)</f>
        <v>3822.0250000000001</v>
      </c>
      <c r="C25">
        <f t="shared" ref="C25:E25" si="2">C24/COUNT(C2:C21)</f>
        <v>4326.3999999999996</v>
      </c>
      <c r="D25">
        <f t="shared" si="2"/>
        <v>4622.5</v>
      </c>
      <c r="E25">
        <f t="shared" si="2"/>
        <v>7425.625</v>
      </c>
      <c r="F25">
        <f>SUM(B25:E25)</f>
        <v>20196.55</v>
      </c>
    </row>
    <row r="26" spans="1:20">
      <c r="A26" t="s">
        <v>149</v>
      </c>
      <c r="B26">
        <f>B23/COUNT(B2:B21)</f>
        <v>19.55</v>
      </c>
      <c r="C26">
        <f t="shared" ref="C26:E26" si="3">C23/COUNT(C2:C21)</f>
        <v>20.8</v>
      </c>
      <c r="D26">
        <f t="shared" si="3"/>
        <v>21.5</v>
      </c>
      <c r="E26">
        <f t="shared" si="3"/>
        <v>27.25</v>
      </c>
    </row>
  </sheetData>
  <mergeCells count="42">
    <mergeCell ref="B2:B3"/>
    <mergeCell ref="C2:C3"/>
    <mergeCell ref="D2:D3"/>
    <mergeCell ref="E2:E3"/>
    <mergeCell ref="B4:B5"/>
    <mergeCell ref="C4:C5"/>
    <mergeCell ref="D4:D5"/>
    <mergeCell ref="E4:E5"/>
    <mergeCell ref="D6:D7"/>
    <mergeCell ref="E6:E7"/>
    <mergeCell ref="B8:B9"/>
    <mergeCell ref="C8:C9"/>
    <mergeCell ref="D8:D9"/>
    <mergeCell ref="E8:E9"/>
    <mergeCell ref="B20:B21"/>
    <mergeCell ref="C20:C21"/>
    <mergeCell ref="D20:D21"/>
    <mergeCell ref="E20:E21"/>
    <mergeCell ref="B14:B15"/>
    <mergeCell ref="C14:C15"/>
    <mergeCell ref="D14:D15"/>
    <mergeCell ref="E14:E15"/>
    <mergeCell ref="B16:B17"/>
    <mergeCell ref="C16:C17"/>
    <mergeCell ref="D16:D17"/>
    <mergeCell ref="E16:E17"/>
    <mergeCell ref="S7:S8"/>
    <mergeCell ref="R9:S9"/>
    <mergeCell ref="B18:B19"/>
    <mergeCell ref="C18:C19"/>
    <mergeCell ref="D18:D19"/>
    <mergeCell ref="E18:E19"/>
    <mergeCell ref="B10:B11"/>
    <mergeCell ref="C10:C11"/>
    <mergeCell ref="D10:D11"/>
    <mergeCell ref="E10:E11"/>
    <mergeCell ref="B12:B13"/>
    <mergeCell ref="C12:C13"/>
    <mergeCell ref="D12:D13"/>
    <mergeCell ref="E12:E13"/>
    <mergeCell ref="B6:B7"/>
    <mergeCell ref="C6:C7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0A8F7E-B06C-3549-89A8-D86AEA99CBF7}">
  <dimension ref="A1:M44"/>
  <sheetViews>
    <sheetView topLeftCell="A20" workbookViewId="0">
      <selection activeCell="C38" sqref="C38"/>
    </sheetView>
  </sheetViews>
  <sheetFormatPr baseColWidth="10" defaultRowHeight="16"/>
  <cols>
    <col min="3" max="3" width="13.6640625" customWidth="1"/>
    <col min="11" max="11" width="25.1640625" customWidth="1"/>
  </cols>
  <sheetData>
    <row r="1" spans="1:9">
      <c r="A1" t="s">
        <v>157</v>
      </c>
      <c r="B1" t="s">
        <v>158</v>
      </c>
      <c r="C1" t="s">
        <v>159</v>
      </c>
      <c r="D1" t="s">
        <v>160</v>
      </c>
      <c r="E1" t="s">
        <v>161</v>
      </c>
      <c r="F1" t="s">
        <v>162</v>
      </c>
      <c r="G1" t="s">
        <v>95</v>
      </c>
      <c r="H1" t="s">
        <v>163</v>
      </c>
      <c r="I1" t="s">
        <v>80</v>
      </c>
    </row>
    <row r="2" spans="1:9">
      <c r="A2">
        <v>0</v>
      </c>
      <c r="B2">
        <v>1026</v>
      </c>
      <c r="C2">
        <f>$B$12/COUNT($B$2:$B$11)</f>
        <v>999</v>
      </c>
      <c r="D2">
        <f>B2-C2</f>
        <v>27</v>
      </c>
      <c r="E2">
        <f>D2^2</f>
        <v>729</v>
      </c>
      <c r="F2">
        <f>E2/B2</f>
        <v>0.71052631578947367</v>
      </c>
      <c r="G2">
        <v>9</v>
      </c>
      <c r="H2">
        <v>16.919</v>
      </c>
      <c r="I2" t="str">
        <f>IF(F12&gt;H2,"Not Unifomaly distributed", "Distributed")</f>
        <v>Not Unifomaly distributed</v>
      </c>
    </row>
    <row r="3" spans="1:9">
      <c r="A3">
        <f>A2+1</f>
        <v>1</v>
      </c>
      <c r="B3">
        <v>1107</v>
      </c>
      <c r="C3">
        <f t="shared" ref="C3:C11" si="0">$B$12/COUNT($B$2:$B$11)</f>
        <v>999</v>
      </c>
      <c r="D3">
        <f t="shared" ref="D3:D11" si="1">B3-C3</f>
        <v>108</v>
      </c>
      <c r="E3">
        <f t="shared" ref="E3:E11" si="2">D3^2</f>
        <v>11664</v>
      </c>
      <c r="F3">
        <f t="shared" ref="F3:F11" si="3">E3/B3</f>
        <v>10.536585365853659</v>
      </c>
    </row>
    <row r="4" spans="1:9">
      <c r="A4">
        <f t="shared" ref="A4:A11" si="4">A3+1</f>
        <v>2</v>
      </c>
      <c r="B4">
        <v>997</v>
      </c>
      <c r="C4">
        <f t="shared" si="0"/>
        <v>999</v>
      </c>
      <c r="D4">
        <f t="shared" si="1"/>
        <v>-2</v>
      </c>
      <c r="E4">
        <f t="shared" si="2"/>
        <v>4</v>
      </c>
      <c r="F4">
        <f t="shared" si="3"/>
        <v>4.0120361083249749E-3</v>
      </c>
    </row>
    <row r="5" spans="1:9">
      <c r="A5">
        <f t="shared" si="4"/>
        <v>3</v>
      </c>
      <c r="B5">
        <v>966</v>
      </c>
      <c r="C5">
        <f t="shared" si="0"/>
        <v>999</v>
      </c>
      <c r="D5">
        <f t="shared" si="1"/>
        <v>-33</v>
      </c>
      <c r="E5">
        <f t="shared" si="2"/>
        <v>1089</v>
      </c>
      <c r="F5">
        <f t="shared" si="3"/>
        <v>1.1273291925465838</v>
      </c>
    </row>
    <row r="6" spans="1:9">
      <c r="A6">
        <f t="shared" si="4"/>
        <v>4</v>
      </c>
      <c r="B6">
        <v>1075</v>
      </c>
      <c r="C6">
        <f t="shared" si="0"/>
        <v>999</v>
      </c>
      <c r="D6">
        <f t="shared" si="1"/>
        <v>76</v>
      </c>
      <c r="E6">
        <f t="shared" si="2"/>
        <v>5776</v>
      </c>
      <c r="F6">
        <f t="shared" si="3"/>
        <v>5.3730232558139539</v>
      </c>
    </row>
    <row r="7" spans="1:9">
      <c r="A7">
        <f t="shared" si="4"/>
        <v>5</v>
      </c>
      <c r="B7">
        <v>933</v>
      </c>
      <c r="C7">
        <f t="shared" si="0"/>
        <v>999</v>
      </c>
      <c r="D7">
        <f t="shared" si="1"/>
        <v>-66</v>
      </c>
      <c r="E7">
        <f t="shared" si="2"/>
        <v>4356</v>
      </c>
      <c r="F7">
        <f t="shared" si="3"/>
        <v>4.6688102893890679</v>
      </c>
    </row>
    <row r="8" spans="1:9">
      <c r="A8">
        <f t="shared" si="4"/>
        <v>6</v>
      </c>
      <c r="B8">
        <v>1107</v>
      </c>
      <c r="C8">
        <f t="shared" si="0"/>
        <v>999</v>
      </c>
      <c r="D8">
        <f t="shared" si="1"/>
        <v>108</v>
      </c>
      <c r="E8">
        <f t="shared" si="2"/>
        <v>11664</v>
      </c>
      <c r="F8">
        <f t="shared" si="3"/>
        <v>10.536585365853659</v>
      </c>
    </row>
    <row r="9" spans="1:9">
      <c r="A9">
        <f t="shared" si="4"/>
        <v>7</v>
      </c>
      <c r="B9">
        <v>972</v>
      </c>
      <c r="C9">
        <f t="shared" si="0"/>
        <v>999</v>
      </c>
      <c r="D9">
        <f t="shared" si="1"/>
        <v>-27</v>
      </c>
      <c r="E9">
        <f t="shared" si="2"/>
        <v>729</v>
      </c>
      <c r="F9">
        <f t="shared" si="3"/>
        <v>0.75</v>
      </c>
    </row>
    <row r="10" spans="1:9">
      <c r="A10">
        <f t="shared" si="4"/>
        <v>8</v>
      </c>
      <c r="B10">
        <v>954</v>
      </c>
      <c r="C10">
        <f t="shared" si="0"/>
        <v>999</v>
      </c>
      <c r="D10">
        <f t="shared" si="1"/>
        <v>-45</v>
      </c>
      <c r="E10">
        <f t="shared" si="2"/>
        <v>2025</v>
      </c>
      <c r="F10">
        <f t="shared" si="3"/>
        <v>2.1226415094339623</v>
      </c>
    </row>
    <row r="11" spans="1:9">
      <c r="A11">
        <f t="shared" si="4"/>
        <v>9</v>
      </c>
      <c r="B11">
        <v>853</v>
      </c>
      <c r="C11">
        <f t="shared" si="0"/>
        <v>999</v>
      </c>
      <c r="D11">
        <f t="shared" si="1"/>
        <v>-146</v>
      </c>
      <c r="E11">
        <f t="shared" si="2"/>
        <v>21316</v>
      </c>
      <c r="F11">
        <f t="shared" si="3"/>
        <v>24.989449003516999</v>
      </c>
    </row>
    <row r="12" spans="1:9">
      <c r="A12" t="s">
        <v>84</v>
      </c>
      <c r="B12">
        <f>SUM(B2:B11)</f>
        <v>9990</v>
      </c>
      <c r="F12">
        <f>SUM(F2:F11)</f>
        <v>60.818962334305681</v>
      </c>
    </row>
    <row r="18" spans="1:8">
      <c r="B18" t="s">
        <v>164</v>
      </c>
      <c r="C18" t="s">
        <v>165</v>
      </c>
      <c r="D18" t="s">
        <v>166</v>
      </c>
      <c r="E18" t="s">
        <v>167</v>
      </c>
      <c r="F18" t="s">
        <v>170</v>
      </c>
      <c r="G18" t="s">
        <v>9</v>
      </c>
      <c r="H18" t="s">
        <v>80</v>
      </c>
    </row>
    <row r="19" spans="1:8">
      <c r="A19" t="s">
        <v>168</v>
      </c>
      <c r="B19">
        <v>84</v>
      </c>
      <c r="C19">
        <v>35</v>
      </c>
      <c r="D19">
        <v>28</v>
      </c>
      <c r="E19">
        <v>13</v>
      </c>
      <c r="F19">
        <f>SUM(B19:E19)</f>
        <v>160</v>
      </c>
    </row>
    <row r="20" spans="1:8">
      <c r="A20" t="s">
        <v>169</v>
      </c>
      <c r="B20">
        <v>9</v>
      </c>
      <c r="C20">
        <v>3</v>
      </c>
      <c r="D20">
        <v>3</v>
      </c>
      <c r="E20">
        <v>1</v>
      </c>
      <c r="F20">
        <f>SUM(B20:E20)</f>
        <v>16</v>
      </c>
    </row>
    <row r="21" spans="1:8">
      <c r="A21" t="s">
        <v>159</v>
      </c>
      <c r="B21">
        <f>B20/$F$20*$F$19</f>
        <v>90</v>
      </c>
      <c r="C21">
        <f t="shared" ref="C21:E21" si="5">C20/$F$20*$F$19</f>
        <v>30</v>
      </c>
      <c r="D21">
        <f t="shared" si="5"/>
        <v>30</v>
      </c>
      <c r="E21">
        <f t="shared" si="5"/>
        <v>10</v>
      </c>
    </row>
    <row r="22" spans="1:8">
      <c r="A22" t="s">
        <v>160</v>
      </c>
      <c r="B22">
        <f>B19-B21</f>
        <v>-6</v>
      </c>
      <c r="C22">
        <f t="shared" ref="C22:E22" si="6">C19-C21</f>
        <v>5</v>
      </c>
      <c r="D22">
        <f t="shared" si="6"/>
        <v>-2</v>
      </c>
      <c r="E22">
        <f t="shared" si="6"/>
        <v>3</v>
      </c>
    </row>
    <row r="23" spans="1:8">
      <c r="A23" t="s">
        <v>161</v>
      </c>
      <c r="B23">
        <f>B22^2</f>
        <v>36</v>
      </c>
      <c r="C23">
        <f t="shared" ref="C23:E23" si="7">C22^2</f>
        <v>25</v>
      </c>
      <c r="D23">
        <f t="shared" si="7"/>
        <v>4</v>
      </c>
      <c r="E23">
        <f t="shared" si="7"/>
        <v>9</v>
      </c>
    </row>
    <row r="24" spans="1:8">
      <c r="A24" t="s">
        <v>171</v>
      </c>
      <c r="B24">
        <f>B23/B21</f>
        <v>0.4</v>
      </c>
      <c r="C24">
        <f t="shared" ref="C24:E24" si="8">C23/C21</f>
        <v>0.83333333333333337</v>
      </c>
      <c r="D24">
        <f t="shared" si="8"/>
        <v>0.13333333333333333</v>
      </c>
      <c r="E24">
        <f t="shared" si="8"/>
        <v>0.9</v>
      </c>
      <c r="F24">
        <f>SUM(B24:E24)</f>
        <v>2.2666666666666666</v>
      </c>
      <c r="G24">
        <v>7.81</v>
      </c>
      <c r="H24" t="str">
        <f>IF(F24&gt;G24,"Not Unifomaly distributed", "Distributed")</f>
        <v>Distributed</v>
      </c>
    </row>
    <row r="34" spans="1:13">
      <c r="A34" t="s">
        <v>237</v>
      </c>
      <c r="G34" t="s">
        <v>110</v>
      </c>
      <c r="H34" t="s">
        <v>111</v>
      </c>
      <c r="I34" t="s">
        <v>112</v>
      </c>
      <c r="J34" t="s">
        <v>239</v>
      </c>
      <c r="K34" t="s">
        <v>240</v>
      </c>
      <c r="L34" t="s">
        <v>9</v>
      </c>
      <c r="M34" t="s">
        <v>80</v>
      </c>
    </row>
    <row r="35" spans="1:13">
      <c r="B35" t="s">
        <v>235</v>
      </c>
      <c r="C35" t="s">
        <v>236</v>
      </c>
      <c r="D35" s="1" t="s">
        <v>84</v>
      </c>
      <c r="G35">
        <f>B36-B43</f>
        <v>75</v>
      </c>
      <c r="H35">
        <f>G35^2</f>
        <v>5625</v>
      </c>
      <c r="I35">
        <f>H35/B43</f>
        <v>25</v>
      </c>
      <c r="J35">
        <f>(COUNT(B36:B37)-1) * (COUNT(B36:C36)-1)</f>
        <v>1</v>
      </c>
      <c r="K35">
        <v>0.1</v>
      </c>
      <c r="L35">
        <v>6.6349999999999998</v>
      </c>
      <c r="M35" t="str">
        <f>IF(I39&gt;L35,"Reject H0", "Accept H0")</f>
        <v>Reject H0</v>
      </c>
    </row>
    <row r="36" spans="1:13">
      <c r="B36">
        <v>300</v>
      </c>
      <c r="C36">
        <v>100</v>
      </c>
      <c r="D36">
        <f>SUM(B36:C36)</f>
        <v>400</v>
      </c>
      <c r="G36">
        <f>C36-C43</f>
        <v>-75</v>
      </c>
      <c r="H36">
        <f t="shared" ref="H36:H38" si="9">G36^2</f>
        <v>5625</v>
      </c>
      <c r="I36">
        <f>H36/C43</f>
        <v>32.142857142857146</v>
      </c>
    </row>
    <row r="37" spans="1:13">
      <c r="B37">
        <v>150</v>
      </c>
      <c r="C37">
        <v>250</v>
      </c>
      <c r="D37">
        <f>SUM(B37:C37)</f>
        <v>400</v>
      </c>
      <c r="G37">
        <f>B37-B44</f>
        <v>-75</v>
      </c>
      <c r="H37">
        <f t="shared" si="9"/>
        <v>5625</v>
      </c>
      <c r="I37">
        <f>H37/B44</f>
        <v>25</v>
      </c>
    </row>
    <row r="38" spans="1:13">
      <c r="A38" s="1" t="s">
        <v>84</v>
      </c>
      <c r="B38">
        <f>SUM(B36,B37)</f>
        <v>450</v>
      </c>
      <c r="C38">
        <f t="shared" ref="C38:D38" si="10">SUM(C36,C37)</f>
        <v>350</v>
      </c>
      <c r="D38" s="13">
        <f t="shared" si="10"/>
        <v>800</v>
      </c>
      <c r="G38">
        <f>C37-C44</f>
        <v>75</v>
      </c>
      <c r="H38">
        <f t="shared" si="9"/>
        <v>5625</v>
      </c>
      <c r="I38">
        <f>H38/C44</f>
        <v>32.142857142857146</v>
      </c>
    </row>
    <row r="39" spans="1:13">
      <c r="I39" s="13">
        <f>SUM(I35:I38)</f>
        <v>114.28571428571428</v>
      </c>
    </row>
    <row r="41" spans="1:13">
      <c r="A41" t="s">
        <v>238</v>
      </c>
    </row>
    <row r="42" spans="1:13">
      <c r="B42" t="s">
        <v>235</v>
      </c>
      <c r="C42" t="s">
        <v>236</v>
      </c>
    </row>
    <row r="43" spans="1:13">
      <c r="B43">
        <f>D36*B38/D38</f>
        <v>225</v>
      </c>
      <c r="C43">
        <f>D36*C38/D38</f>
        <v>175</v>
      </c>
    </row>
    <row r="44" spans="1:13">
      <c r="B44">
        <f>B38*D37/D38</f>
        <v>225</v>
      </c>
      <c r="C44">
        <f>D37*C38/D38</f>
        <v>175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D97CEF-6561-8B42-9D4A-CD3CC8C9BF24}">
  <dimension ref="A1:H10"/>
  <sheetViews>
    <sheetView tabSelected="1" workbookViewId="0">
      <selection activeCell="F15" sqref="F15"/>
    </sheetView>
  </sheetViews>
  <sheetFormatPr baseColWidth="10" defaultRowHeight="16"/>
  <cols>
    <col min="6" max="6" width="23.1640625" customWidth="1"/>
  </cols>
  <sheetData>
    <row r="1" spans="1:8">
      <c r="A1" s="1"/>
      <c r="B1" t="s">
        <v>70</v>
      </c>
      <c r="C1" t="s">
        <v>71</v>
      </c>
      <c r="D1" t="s">
        <v>173</v>
      </c>
      <c r="E1" t="s">
        <v>174</v>
      </c>
      <c r="F1" t="s">
        <v>175</v>
      </c>
      <c r="G1" t="s">
        <v>2</v>
      </c>
      <c r="H1" t="s">
        <v>176</v>
      </c>
    </row>
    <row r="2" spans="1:8">
      <c r="B2">
        <v>5</v>
      </c>
      <c r="C2">
        <v>8</v>
      </c>
      <c r="D2">
        <f>B2-$B$10</f>
        <v>-1.4000000000000004</v>
      </c>
      <c r="E2">
        <f>C2-$C$10</f>
        <v>1.7999999999999998</v>
      </c>
      <c r="F2">
        <f>D2*E2</f>
        <v>-2.5200000000000005</v>
      </c>
      <c r="G2">
        <f>COUNT(B2:B7)</f>
        <v>5</v>
      </c>
      <c r="H2">
        <f>F9/(G2-1)</f>
        <v>-0.60000000000000009</v>
      </c>
    </row>
    <row r="3" spans="1:8">
      <c r="B3">
        <v>6</v>
      </c>
      <c r="C3">
        <v>4</v>
      </c>
      <c r="D3">
        <f t="shared" ref="D3:D7" si="0">B3-$B$10</f>
        <v>-0.40000000000000036</v>
      </c>
      <c r="E3">
        <f t="shared" ref="E3:E7" si="1">C3-$C$10</f>
        <v>-2.2000000000000002</v>
      </c>
      <c r="F3">
        <f t="shared" ref="F3:F7" si="2">D3*E3</f>
        <v>0.88000000000000089</v>
      </c>
    </row>
    <row r="4" spans="1:8">
      <c r="B4">
        <v>9</v>
      </c>
      <c r="C4">
        <v>4</v>
      </c>
      <c r="D4">
        <f t="shared" si="0"/>
        <v>2.5999999999999996</v>
      </c>
      <c r="E4">
        <f t="shared" si="1"/>
        <v>-2.2000000000000002</v>
      </c>
      <c r="F4">
        <f t="shared" si="2"/>
        <v>-5.72</v>
      </c>
    </row>
    <row r="5" spans="1:8">
      <c r="B5">
        <v>8</v>
      </c>
      <c r="C5">
        <v>9</v>
      </c>
      <c r="D5">
        <f t="shared" si="0"/>
        <v>1.5999999999999996</v>
      </c>
      <c r="E5">
        <f t="shared" si="1"/>
        <v>2.8</v>
      </c>
      <c r="F5">
        <f t="shared" si="2"/>
        <v>4.4799999999999986</v>
      </c>
    </row>
    <row r="6" spans="1:8">
      <c r="B6">
        <v>4</v>
      </c>
      <c r="C6">
        <v>6</v>
      </c>
      <c r="D6">
        <f t="shared" si="0"/>
        <v>-2.4000000000000004</v>
      </c>
      <c r="E6">
        <f t="shared" si="1"/>
        <v>-0.20000000000000018</v>
      </c>
      <c r="F6">
        <f t="shared" si="2"/>
        <v>0.48000000000000048</v>
      </c>
    </row>
    <row r="9" spans="1:8">
      <c r="A9" t="s">
        <v>172</v>
      </c>
      <c r="B9">
        <f>SUM(B2:B7)</f>
        <v>32</v>
      </c>
      <c r="C9">
        <f>SUM(C2:C7)</f>
        <v>31</v>
      </c>
      <c r="F9">
        <f>SUM(F2:F7)</f>
        <v>-2.4000000000000004</v>
      </c>
    </row>
    <row r="10" spans="1:8">
      <c r="A10" t="s">
        <v>26</v>
      </c>
      <c r="B10">
        <f>AVERAGE(B2:B7)</f>
        <v>6.4</v>
      </c>
      <c r="C10">
        <f>AVERAGE(C2:C7)</f>
        <v>6.2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006A5F-518D-E746-A209-B051F6F6544B}">
  <dimension ref="A1:N33"/>
  <sheetViews>
    <sheetView workbookViewId="0">
      <selection activeCell="M2" sqref="M2"/>
    </sheetView>
  </sheetViews>
  <sheetFormatPr baseColWidth="10" defaultRowHeight="16"/>
  <cols>
    <col min="6" max="8" width="23.5" customWidth="1"/>
    <col min="11" max="11" width="25.33203125" customWidth="1"/>
    <col min="13" max="15" width="18.5" customWidth="1"/>
  </cols>
  <sheetData>
    <row r="1" spans="1:14">
      <c r="A1" s="1"/>
      <c r="B1" t="s">
        <v>70</v>
      </c>
      <c r="C1" t="s">
        <v>71</v>
      </c>
      <c r="D1" t="s">
        <v>179</v>
      </c>
      <c r="E1" t="s">
        <v>178</v>
      </c>
      <c r="F1" t="s">
        <v>180</v>
      </c>
      <c r="I1" t="s">
        <v>2</v>
      </c>
      <c r="J1" t="s">
        <v>182</v>
      </c>
      <c r="K1" t="s">
        <v>191</v>
      </c>
      <c r="L1" t="s">
        <v>191</v>
      </c>
      <c r="M1" t="s">
        <v>192</v>
      </c>
      <c r="N1" t="s">
        <v>181</v>
      </c>
    </row>
    <row r="2" spans="1:14">
      <c r="B2">
        <v>5</v>
      </c>
      <c r="C2">
        <v>8</v>
      </c>
      <c r="D2">
        <f>B2^2</f>
        <v>25</v>
      </c>
      <c r="E2">
        <f>C2^2</f>
        <v>64</v>
      </c>
      <c r="F2">
        <f>B2*C2</f>
        <v>40</v>
      </c>
      <c r="I2">
        <f>COUNT(B2:B14)</f>
        <v>5</v>
      </c>
      <c r="J2">
        <f>(I2*F15)-(B15*C15)</f>
        <v>-12</v>
      </c>
      <c r="K2" s="2">
        <f>SQRT((I2*D15)-(B15^2))</f>
        <v>9.2736184954957039</v>
      </c>
      <c r="L2" s="2">
        <f>SQRT((I2*E15)-(C15^2))</f>
        <v>10.198039027185569</v>
      </c>
      <c r="M2" s="2">
        <f>K2*L2</f>
        <v>94.572723340295113</v>
      </c>
      <c r="N2" s="2">
        <f>J2/M2</f>
        <v>-0.12688648033134406</v>
      </c>
    </row>
    <row r="3" spans="1:14">
      <c r="B3">
        <v>6</v>
      </c>
      <c r="C3">
        <v>4</v>
      </c>
      <c r="D3">
        <f t="shared" ref="D3:D6" si="0">B3^2</f>
        <v>36</v>
      </c>
      <c r="E3">
        <f t="shared" ref="E3:E6" si="1">C3^2</f>
        <v>16</v>
      </c>
      <c r="F3">
        <f t="shared" ref="F3:F6" si="2">B3*C3</f>
        <v>24</v>
      </c>
    </row>
    <row r="4" spans="1:14">
      <c r="B4">
        <v>9</v>
      </c>
      <c r="C4">
        <v>4</v>
      </c>
      <c r="D4">
        <f t="shared" si="0"/>
        <v>81</v>
      </c>
      <c r="E4">
        <f t="shared" si="1"/>
        <v>16</v>
      </c>
      <c r="F4">
        <f t="shared" si="2"/>
        <v>36</v>
      </c>
    </row>
    <row r="5" spans="1:14">
      <c r="B5">
        <v>8</v>
      </c>
      <c r="C5">
        <v>9</v>
      </c>
      <c r="D5">
        <f t="shared" si="0"/>
        <v>64</v>
      </c>
      <c r="E5">
        <f t="shared" si="1"/>
        <v>81</v>
      </c>
      <c r="F5">
        <f t="shared" si="2"/>
        <v>72</v>
      </c>
    </row>
    <row r="6" spans="1:14">
      <c r="B6">
        <v>4</v>
      </c>
      <c r="C6">
        <v>6</v>
      </c>
      <c r="D6">
        <f t="shared" si="0"/>
        <v>16</v>
      </c>
      <c r="E6">
        <f t="shared" si="1"/>
        <v>36</v>
      </c>
      <c r="F6">
        <f t="shared" si="2"/>
        <v>24</v>
      </c>
    </row>
    <row r="15" spans="1:14">
      <c r="A15" t="s">
        <v>172</v>
      </c>
      <c r="B15">
        <f>SUM(B2:B14)</f>
        <v>32</v>
      </c>
      <c r="C15">
        <f>SUM(C2:C14)</f>
        <v>31</v>
      </c>
      <c r="D15">
        <f>SUM(D2:D14)</f>
        <v>222</v>
      </c>
      <c r="E15">
        <f>SUM(E2:E14)</f>
        <v>213</v>
      </c>
      <c r="F15">
        <f>SUM(F2:F14)</f>
        <v>196</v>
      </c>
    </row>
    <row r="16" spans="1:14">
      <c r="A16" t="s">
        <v>26</v>
      </c>
      <c r="B16">
        <f>AVERAGE(B2:B14)</f>
        <v>6.4</v>
      </c>
      <c r="C16">
        <f>AVERAGE(C2:C14)</f>
        <v>6.2</v>
      </c>
    </row>
    <row r="18" spans="1:14">
      <c r="A18" t="s">
        <v>194</v>
      </c>
    </row>
    <row r="20" spans="1:14">
      <c r="A20" s="1"/>
      <c r="B20" t="s">
        <v>70</v>
      </c>
      <c r="C20" t="s">
        <v>71</v>
      </c>
      <c r="D20" t="s">
        <v>195</v>
      </c>
      <c r="E20" t="s">
        <v>196</v>
      </c>
      <c r="F20" t="s">
        <v>197</v>
      </c>
      <c r="G20" t="s">
        <v>198</v>
      </c>
      <c r="H20" t="s">
        <v>199</v>
      </c>
      <c r="I20" t="s">
        <v>2</v>
      </c>
      <c r="J20" t="s">
        <v>182</v>
      </c>
      <c r="K20" t="s">
        <v>191</v>
      </c>
      <c r="L20" t="s">
        <v>191</v>
      </c>
      <c r="M20" t="s">
        <v>192</v>
      </c>
      <c r="N20" t="s">
        <v>181</v>
      </c>
    </row>
    <row r="21" spans="1:14">
      <c r="B21">
        <v>5</v>
      </c>
      <c r="C21">
        <v>8</v>
      </c>
      <c r="D21">
        <f>B21-$B$33</f>
        <v>-1.4000000000000004</v>
      </c>
      <c r="E21">
        <f>C21-$C$33</f>
        <v>1.7999999999999998</v>
      </c>
      <c r="F21">
        <f>D21*D21</f>
        <v>1.9600000000000011</v>
      </c>
      <c r="G21">
        <f>E21*E21</f>
        <v>3.2399999999999993</v>
      </c>
      <c r="H21">
        <f>D21*E21</f>
        <v>-2.5200000000000005</v>
      </c>
      <c r="I21">
        <f>COUNT(B21:B31)</f>
        <v>5</v>
      </c>
      <c r="J21">
        <f>(I21*H32)-(D32*E32)</f>
        <v>-12.000000000000002</v>
      </c>
      <c r="K21">
        <f>SQRT(($I$21*F32)-(D32*D32))</f>
        <v>9.2736184954957039</v>
      </c>
      <c r="L21">
        <f>SQRT(($I$21*G32)-(E32*E32))</f>
        <v>10.198039027185569</v>
      </c>
      <c r="M21">
        <f>K21*L21</f>
        <v>94.572723340295113</v>
      </c>
      <c r="N21">
        <f>J21/M21</f>
        <v>-0.12688648033134409</v>
      </c>
    </row>
    <row r="22" spans="1:14">
      <c r="B22">
        <v>6</v>
      </c>
      <c r="C22">
        <v>4</v>
      </c>
      <c r="D22">
        <f t="shared" ref="D22:D25" si="3">B22-$B$33</f>
        <v>-0.40000000000000036</v>
      </c>
      <c r="E22">
        <f t="shared" ref="E22:E25" si="4">C22-$C$33</f>
        <v>-2.2000000000000002</v>
      </c>
      <c r="F22">
        <f t="shared" ref="F22:F25" si="5">D22*D22</f>
        <v>0.16000000000000028</v>
      </c>
      <c r="G22">
        <f t="shared" ref="G22:G25" si="6">E22*E22</f>
        <v>4.8400000000000007</v>
      </c>
      <c r="H22">
        <f t="shared" ref="H22:H23" si="7">D22*E22</f>
        <v>0.88000000000000089</v>
      </c>
    </row>
    <row r="23" spans="1:14">
      <c r="B23">
        <v>9</v>
      </c>
      <c r="C23">
        <v>4</v>
      </c>
      <c r="D23">
        <f t="shared" si="3"/>
        <v>2.5999999999999996</v>
      </c>
      <c r="E23">
        <f t="shared" si="4"/>
        <v>-2.2000000000000002</v>
      </c>
      <c r="F23">
        <f t="shared" si="5"/>
        <v>6.759999999999998</v>
      </c>
      <c r="G23">
        <f t="shared" si="6"/>
        <v>4.8400000000000007</v>
      </c>
      <c r="H23">
        <f t="shared" si="7"/>
        <v>-5.72</v>
      </c>
    </row>
    <row r="24" spans="1:14">
      <c r="B24">
        <v>8</v>
      </c>
      <c r="C24">
        <v>9</v>
      </c>
      <c r="D24">
        <f t="shared" si="3"/>
        <v>1.5999999999999996</v>
      </c>
      <c r="E24">
        <f t="shared" si="4"/>
        <v>2.8</v>
      </c>
      <c r="F24">
        <f t="shared" si="5"/>
        <v>2.5599999999999987</v>
      </c>
      <c r="G24">
        <f t="shared" si="6"/>
        <v>7.839999999999999</v>
      </c>
      <c r="H24">
        <f>D24*E24</f>
        <v>4.4799999999999986</v>
      </c>
    </row>
    <row r="25" spans="1:14">
      <c r="B25">
        <v>4</v>
      </c>
      <c r="C25">
        <v>6</v>
      </c>
      <c r="D25">
        <f t="shared" si="3"/>
        <v>-2.4000000000000004</v>
      </c>
      <c r="E25">
        <f t="shared" si="4"/>
        <v>-0.20000000000000018</v>
      </c>
      <c r="F25">
        <f t="shared" si="5"/>
        <v>5.7600000000000016</v>
      </c>
      <c r="G25">
        <f t="shared" si="6"/>
        <v>4.000000000000007E-2</v>
      </c>
      <c r="H25">
        <f>D25*E25</f>
        <v>0.48000000000000048</v>
      </c>
    </row>
    <row r="32" spans="1:14">
      <c r="A32" t="s">
        <v>172</v>
      </c>
      <c r="B32">
        <f t="shared" ref="B32:H32" si="8">SUM(B21:B31)</f>
        <v>32</v>
      </c>
      <c r="C32">
        <f t="shared" si="8"/>
        <v>31</v>
      </c>
      <c r="D32">
        <f t="shared" si="8"/>
        <v>0</v>
      </c>
      <c r="E32">
        <f t="shared" si="8"/>
        <v>-8.8817841970012523E-16</v>
      </c>
      <c r="F32">
        <f t="shared" si="8"/>
        <v>17.2</v>
      </c>
      <c r="G32">
        <f t="shared" si="8"/>
        <v>20.8</v>
      </c>
      <c r="H32">
        <f t="shared" si="8"/>
        <v>-2.4000000000000004</v>
      </c>
    </row>
    <row r="33" spans="1:3">
      <c r="A33" t="s">
        <v>26</v>
      </c>
      <c r="B33">
        <f>AVERAGE(B21:B31)</f>
        <v>6.4</v>
      </c>
      <c r="C33">
        <f>AVERAGE(C21:C31)</f>
        <v>6.2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T-Test Single</vt:lpstr>
      <vt:lpstr>T-test Double</vt:lpstr>
      <vt:lpstr>X2 One Smple</vt:lpstr>
      <vt:lpstr>X2  for2</vt:lpstr>
      <vt:lpstr>F-Test</vt:lpstr>
      <vt:lpstr>ANOVA-1way</vt:lpstr>
      <vt:lpstr>Goodness-of-fit or Chi2</vt:lpstr>
      <vt:lpstr>Coverience</vt:lpstr>
      <vt:lpstr>Karl Pearsons</vt:lpstr>
      <vt:lpstr>Spearman Rank-1x</vt:lpstr>
      <vt:lpstr>Spearman Rank-2x</vt:lpstr>
      <vt:lpstr>Linear Regressionx</vt:lpstr>
      <vt:lpstr>Regression- Two Line</vt:lpstr>
      <vt:lpstr>Confidence Interval for the Dif</vt:lpstr>
      <vt:lpstr>T-Test Student Pair test</vt:lpstr>
      <vt:lpstr>z-Test-Single</vt:lpstr>
      <vt:lpstr>Proportion-z-single</vt:lpstr>
      <vt:lpstr>z-Test-Two</vt:lpstr>
      <vt:lpstr>Z-Diff-proportional</vt:lpstr>
      <vt:lpstr>Z-Single Table</vt:lpstr>
      <vt:lpstr>CHI-2 TEST</vt:lpstr>
      <vt:lpstr>Fisher Test</vt:lpstr>
      <vt:lpstr>From QuestionTot</vt:lpstr>
      <vt:lpstr>Single Row X2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2023-03-19T11:00:21Z</dcterms:created>
  <dcterms:modified xsi:type="dcterms:W3CDTF">2023-04-02T06:05:51Z</dcterms:modified>
</cp:coreProperties>
</file>